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7.21\"/>
    </mc:Choice>
  </mc:AlternateContent>
  <bookViews>
    <workbookView xWindow="0" yWindow="0" windowWidth="28800" windowHeight="11685"/>
  </bookViews>
  <sheets>
    <sheet name="2021" sheetId="22" r:id="rId1"/>
  </sheets>
  <definedNames>
    <definedName name="Print_Area" localSheetId="0">'2021'!$A$1:$S$125</definedName>
    <definedName name="Print_Titles" localSheetId="0">'2021'!$3:$5</definedName>
    <definedName name="_xlnm.Print_Titles" localSheetId="0">'2021'!$3:$5</definedName>
    <definedName name="_xlnm.Print_Area" localSheetId="0">'2021'!$A$1:$S$125</definedName>
  </definedNames>
  <calcPr calcId="152511"/>
</workbook>
</file>

<file path=xl/calcChain.xml><?xml version="1.0" encoding="utf-8"?>
<calcChain xmlns="http://schemas.openxmlformats.org/spreadsheetml/2006/main">
  <c r="E59" i="22" l="1"/>
  <c r="O96" i="22" l="1"/>
  <c r="F89" i="22"/>
  <c r="O89" i="22" s="1"/>
  <c r="F96" i="22"/>
  <c r="E64" i="22" l="1"/>
  <c r="E41" i="22"/>
  <c r="E27" i="22"/>
  <c r="E21" i="22"/>
  <c r="E20" i="22"/>
  <c r="E13" i="22"/>
  <c r="E10" i="22"/>
  <c r="Q101" i="22" l="1"/>
  <c r="R96" i="22"/>
  <c r="A96" i="22"/>
  <c r="A97" i="22" s="1"/>
  <c r="Q84" i="22"/>
  <c r="R89" i="22"/>
  <c r="K101" i="22" l="1"/>
  <c r="K100" i="22"/>
  <c r="K99" i="22" s="1"/>
  <c r="K84" i="22"/>
  <c r="K77" i="22"/>
  <c r="K91" i="22" s="1"/>
  <c r="K72" i="22"/>
  <c r="K70" i="22"/>
  <c r="K62" i="22"/>
  <c r="K61" i="22"/>
  <c r="K60" i="22" s="1"/>
  <c r="K73" i="22" s="1"/>
  <c r="K33" i="22"/>
  <c r="K18" i="22"/>
  <c r="K14" i="22"/>
  <c r="K9" i="22"/>
  <c r="K117" i="22" l="1"/>
  <c r="K116" i="22" s="1"/>
  <c r="K47" i="22"/>
  <c r="K107" i="22" s="1"/>
  <c r="K118" i="22"/>
  <c r="K71" i="22"/>
  <c r="K68" i="22" s="1"/>
  <c r="K115" i="22" s="1"/>
  <c r="K93" i="22"/>
  <c r="K103" i="22"/>
  <c r="K105" i="22" s="1"/>
  <c r="K120" i="22" l="1"/>
  <c r="K132" i="22" s="1"/>
  <c r="K109" i="22"/>
  <c r="K111" i="22" s="1"/>
  <c r="K75" i="22"/>
  <c r="K122" i="22" s="1"/>
  <c r="E9" i="22"/>
  <c r="L60" i="22"/>
  <c r="J101" i="22" l="1"/>
  <c r="J100" i="22"/>
  <c r="J99" i="22" s="1"/>
  <c r="J84" i="22"/>
  <c r="J77" i="22"/>
  <c r="J91" i="22" s="1"/>
  <c r="J72" i="22"/>
  <c r="J70" i="22"/>
  <c r="J60" i="22"/>
  <c r="J73" i="22" s="1"/>
  <c r="J118" i="22" s="1"/>
  <c r="J33" i="22"/>
  <c r="J18" i="22"/>
  <c r="J14" i="22"/>
  <c r="J9" i="22"/>
  <c r="N72" i="22"/>
  <c r="L72" i="22"/>
  <c r="I72" i="22"/>
  <c r="H72" i="22"/>
  <c r="G72" i="22"/>
  <c r="E72" i="22"/>
  <c r="F50" i="22"/>
  <c r="F54" i="22"/>
  <c r="R54" i="22" s="1"/>
  <c r="F58" i="22"/>
  <c r="R58" i="22" s="1"/>
  <c r="A59" i="22"/>
  <c r="A60" i="22" s="1"/>
  <c r="R50" i="22" l="1"/>
  <c r="P50" i="22"/>
  <c r="M50" i="22"/>
  <c r="O50" i="22"/>
  <c r="J47" i="22"/>
  <c r="J107" i="22" s="1"/>
  <c r="J117" i="22"/>
  <c r="J116" i="22" s="1"/>
  <c r="J103" i="22"/>
  <c r="J105" i="22" s="1"/>
  <c r="J93" i="22"/>
  <c r="J71" i="22"/>
  <c r="J68" i="22" s="1"/>
  <c r="O54" i="22"/>
  <c r="J109" i="22" l="1"/>
  <c r="J111" i="22" s="1"/>
  <c r="J115" i="22"/>
  <c r="J120" i="22" s="1"/>
  <c r="J132" i="22" s="1"/>
  <c r="J75" i="22"/>
  <c r="J122" i="22" s="1"/>
  <c r="F66" i="22" l="1"/>
  <c r="D60" i="22"/>
  <c r="R66" i="22" l="1"/>
  <c r="P66" i="22"/>
  <c r="O66" i="22"/>
  <c r="I101" i="22" l="1"/>
  <c r="I100" i="22"/>
  <c r="I84" i="22"/>
  <c r="I77" i="22"/>
  <c r="I91" i="22" s="1"/>
  <c r="I70" i="22"/>
  <c r="I60" i="22"/>
  <c r="I73" i="22" s="1"/>
  <c r="I33" i="22"/>
  <c r="I18" i="22"/>
  <c r="I14" i="22"/>
  <c r="I9" i="22"/>
  <c r="I71" i="22" l="1"/>
  <c r="I68" i="22" s="1"/>
  <c r="I117" i="22"/>
  <c r="I99" i="22"/>
  <c r="I103" i="22" s="1"/>
  <c r="I105" i="22" s="1"/>
  <c r="I118" i="22"/>
  <c r="I47" i="22"/>
  <c r="I93" i="22"/>
  <c r="I115" i="22" l="1"/>
  <c r="I116" i="22"/>
  <c r="I109" i="22"/>
  <c r="I111" i="22" s="1"/>
  <c r="I107" i="22"/>
  <c r="I75" i="22"/>
  <c r="I122" i="22" s="1"/>
  <c r="E101" i="22"/>
  <c r="N101" i="22"/>
  <c r="F43" i="22"/>
  <c r="F32" i="22"/>
  <c r="H101" i="22"/>
  <c r="H100" i="22"/>
  <c r="H84" i="22"/>
  <c r="H77" i="22"/>
  <c r="H91" i="22" s="1"/>
  <c r="H70" i="22"/>
  <c r="H60" i="22"/>
  <c r="H73" i="22" s="1"/>
  <c r="H71" i="22" s="1"/>
  <c r="H68" i="22" s="1"/>
  <c r="H33" i="22"/>
  <c r="H18" i="22"/>
  <c r="H14" i="22"/>
  <c r="H9" i="22"/>
  <c r="L101" i="22"/>
  <c r="G101" i="22"/>
  <c r="D101" i="22"/>
  <c r="F97" i="22"/>
  <c r="R97" i="22" s="1"/>
  <c r="F64" i="22"/>
  <c r="O64" i="22" s="1"/>
  <c r="I120" i="22" l="1"/>
  <c r="I132" i="22" s="1"/>
  <c r="M32" i="22"/>
  <c r="P32" i="22"/>
  <c r="H99" i="22"/>
  <c r="H115" i="22" s="1"/>
  <c r="H117" i="22"/>
  <c r="H118" i="22"/>
  <c r="O97" i="22"/>
  <c r="R43" i="22"/>
  <c r="R64" i="22"/>
  <c r="O43" i="22"/>
  <c r="M64" i="22"/>
  <c r="R32" i="22"/>
  <c r="H47" i="22"/>
  <c r="H107" i="22" s="1"/>
  <c r="P64" i="22"/>
  <c r="O32" i="22"/>
  <c r="H93" i="22"/>
  <c r="H116" i="22" l="1"/>
  <c r="H120" i="22"/>
  <c r="H132" i="22" s="1"/>
  <c r="H103" i="22"/>
  <c r="H105" i="22" s="1"/>
  <c r="H75" i="22"/>
  <c r="H109" i="22"/>
  <c r="H111" i="22" s="1"/>
  <c r="H122" i="22" l="1"/>
  <c r="A25" i="22"/>
  <c r="N100" i="22" l="1"/>
  <c r="N99" i="22" s="1"/>
  <c r="F10" i="22" l="1"/>
  <c r="Q9" i="22"/>
  <c r="N9" i="22"/>
  <c r="L9" i="22"/>
  <c r="G9" i="22"/>
  <c r="L33" i="22"/>
  <c r="L18" i="22"/>
  <c r="L14" i="22"/>
  <c r="L73" i="22"/>
  <c r="L118" i="22" s="1"/>
  <c r="L70" i="22"/>
  <c r="L77" i="22"/>
  <c r="L91" i="22" s="1"/>
  <c r="L93" i="22" s="1"/>
  <c r="L84" i="22"/>
  <c r="L100" i="22"/>
  <c r="F113" i="22"/>
  <c r="N113" i="22" s="1"/>
  <c r="F101" i="22"/>
  <c r="F95" i="22"/>
  <c r="S95" i="22" s="1"/>
  <c r="F90" i="22"/>
  <c r="F88" i="22"/>
  <c r="F87" i="22"/>
  <c r="P87" i="22" s="1"/>
  <c r="F86" i="22"/>
  <c r="F85" i="22"/>
  <c r="F83" i="22"/>
  <c r="S83" i="22" s="1"/>
  <c r="F82" i="22"/>
  <c r="S82" i="22" s="1"/>
  <c r="F81" i="22"/>
  <c r="F80" i="22"/>
  <c r="F79" i="22"/>
  <c r="F78" i="22"/>
  <c r="F65" i="22"/>
  <c r="F63" i="22"/>
  <c r="S63" i="22" s="1"/>
  <c r="F62" i="22"/>
  <c r="S62" i="22" s="1"/>
  <c r="F61" i="22"/>
  <c r="S61" i="22" s="1"/>
  <c r="F59" i="22"/>
  <c r="S59" i="22" s="1"/>
  <c r="F57" i="22"/>
  <c r="F56" i="22"/>
  <c r="F53" i="22"/>
  <c r="S53" i="22" s="1"/>
  <c r="F52" i="22"/>
  <c r="F51" i="22"/>
  <c r="F49" i="22"/>
  <c r="F48" i="22"/>
  <c r="F46" i="22"/>
  <c r="F45" i="22"/>
  <c r="S45" i="22" s="1"/>
  <c r="F44" i="22"/>
  <c r="F42" i="22"/>
  <c r="F41" i="22"/>
  <c r="P41" i="22" s="1"/>
  <c r="F40" i="22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S25" i="22" s="1"/>
  <c r="F24" i="22"/>
  <c r="F23" i="22"/>
  <c r="F22" i="22"/>
  <c r="F21" i="22"/>
  <c r="F20" i="22"/>
  <c r="F19" i="22"/>
  <c r="F17" i="22"/>
  <c r="F16" i="22"/>
  <c r="F15" i="22"/>
  <c r="F13" i="22"/>
  <c r="F12" i="22"/>
  <c r="F11" i="22"/>
  <c r="F8" i="22"/>
  <c r="F7" i="22"/>
  <c r="S85" i="22" l="1"/>
  <c r="P85" i="22"/>
  <c r="P81" i="22"/>
  <c r="S81" i="22"/>
  <c r="M40" i="22"/>
  <c r="M10" i="22"/>
  <c r="R10" i="22"/>
  <c r="P10" i="22"/>
  <c r="P86" i="22"/>
  <c r="M86" i="22"/>
  <c r="P27" i="22"/>
  <c r="S27" i="22"/>
  <c r="S15" i="22"/>
  <c r="P15" i="22"/>
  <c r="S16" i="22"/>
  <c r="P16" i="22"/>
  <c r="L47" i="22"/>
  <c r="L109" i="22" s="1"/>
  <c r="L111" i="22" s="1"/>
  <c r="F9" i="22"/>
  <c r="O24" i="22"/>
  <c r="S11" i="22"/>
  <c r="P11" i="22"/>
  <c r="P13" i="22"/>
  <c r="S13" i="22"/>
  <c r="O10" i="22"/>
  <c r="L117" i="22"/>
  <c r="L116" i="22" s="1"/>
  <c r="L71" i="22"/>
  <c r="L99" i="22"/>
  <c r="L103" i="22" s="1"/>
  <c r="L105" i="22" s="1"/>
  <c r="R24" i="22"/>
  <c r="L107" i="22" l="1"/>
  <c r="L68" i="22"/>
  <c r="Q18" i="22"/>
  <c r="R59" i="22"/>
  <c r="N18" i="22"/>
  <c r="G18" i="22"/>
  <c r="F18" i="22" s="1"/>
  <c r="G100" i="22"/>
  <c r="F100" i="22" s="1"/>
  <c r="E100" i="22"/>
  <c r="E99" i="22" s="1"/>
  <c r="N70" i="22"/>
  <c r="F72" i="22"/>
  <c r="G70" i="22"/>
  <c r="F70" i="22" s="1"/>
  <c r="E70" i="22"/>
  <c r="N60" i="22"/>
  <c r="G60" i="22"/>
  <c r="F60" i="22" s="1"/>
  <c r="E60" i="22"/>
  <c r="E33" i="22"/>
  <c r="E18" i="22"/>
  <c r="E14" i="22"/>
  <c r="G99" i="22" l="1"/>
  <c r="F99" i="22" s="1"/>
  <c r="E47" i="22"/>
  <c r="L75" i="22"/>
  <c r="L122" i="22" s="1"/>
  <c r="L115" i="22"/>
  <c r="G117" i="22"/>
  <c r="F117" i="22" s="1"/>
  <c r="P59" i="22"/>
  <c r="M59" i="22"/>
  <c r="O59" i="22"/>
  <c r="N117" i="22"/>
  <c r="L120" i="22" l="1"/>
  <c r="L132" i="22" s="1"/>
  <c r="D55" i="22" l="1"/>
  <c r="D73" i="22" s="1"/>
  <c r="G55" i="22"/>
  <c r="F55" i="22" s="1"/>
  <c r="N55" i="22"/>
  <c r="O56" i="22"/>
  <c r="E57" i="22"/>
  <c r="V57" i="22"/>
  <c r="D21" i="22"/>
  <c r="D19" i="22"/>
  <c r="E55" i="22" l="1"/>
  <c r="E73" i="22" s="1"/>
  <c r="E71" i="22" s="1"/>
  <c r="E68" i="22" s="1"/>
  <c r="E75" i="22" s="1"/>
  <c r="N73" i="22"/>
  <c r="R55" i="22"/>
  <c r="G73" i="22"/>
  <c r="F73" i="22" s="1"/>
  <c r="O57" i="22"/>
  <c r="R56" i="22"/>
  <c r="R57" i="22"/>
  <c r="D18" i="22"/>
  <c r="N71" i="22" l="1"/>
  <c r="N68" i="22" s="1"/>
  <c r="N115" i="22" s="1"/>
  <c r="N118" i="22"/>
  <c r="N116" i="22" s="1"/>
  <c r="O55" i="22"/>
  <c r="G71" i="22"/>
  <c r="G118" i="22"/>
  <c r="G68" i="22" l="1"/>
  <c r="F71" i="22"/>
  <c r="G116" i="22"/>
  <c r="F116" i="22" s="1"/>
  <c r="F118" i="22"/>
  <c r="Q100" i="22"/>
  <c r="Q77" i="22"/>
  <c r="Q91" i="22" s="1"/>
  <c r="Q72" i="22"/>
  <c r="Q70" i="22"/>
  <c r="Q60" i="22"/>
  <c r="Q73" i="22" s="1"/>
  <c r="Q33" i="22"/>
  <c r="Q14" i="22"/>
  <c r="Q47" i="22" s="1"/>
  <c r="G115" i="22" l="1"/>
  <c r="F115" i="22" s="1"/>
  <c r="F68" i="22"/>
  <c r="Q118" i="22"/>
  <c r="Q99" i="22"/>
  <c r="Q103" i="22" s="1"/>
  <c r="U103" i="22" s="1"/>
  <c r="Q71" i="22"/>
  <c r="Q68" i="22" s="1"/>
  <c r="Q93" i="22"/>
  <c r="Q117" i="22"/>
  <c r="T18" i="22"/>
  <c r="T15" i="22"/>
  <c r="Q75" i="22" l="1"/>
  <c r="Q120" i="22" s="1"/>
  <c r="Q109" i="22"/>
  <c r="Q111" i="22" s="1"/>
  <c r="Q116" i="22"/>
  <c r="Q115" i="22"/>
  <c r="Q107" i="22"/>
  <c r="Q105" i="22"/>
  <c r="Q122" i="22" l="1"/>
  <c r="S113" i="22"/>
  <c r="D100" i="22"/>
  <c r="D99" i="22" s="1"/>
  <c r="O88" i="22"/>
  <c r="O87" i="22"/>
  <c r="N84" i="22"/>
  <c r="G84" i="22"/>
  <c r="F84" i="22" s="1"/>
  <c r="D84" i="22"/>
  <c r="O82" i="22"/>
  <c r="O80" i="22"/>
  <c r="A81" i="22"/>
  <c r="A82" i="22" s="1"/>
  <c r="A83" i="22" s="1"/>
  <c r="A84" i="22" s="1"/>
  <c r="S79" i="22"/>
  <c r="R78" i="22"/>
  <c r="N77" i="22"/>
  <c r="N91" i="22" s="1"/>
  <c r="G77" i="22"/>
  <c r="F77" i="22" s="1"/>
  <c r="D77" i="22"/>
  <c r="D91" i="22" s="1"/>
  <c r="D72" i="22"/>
  <c r="D70" i="22"/>
  <c r="R63" i="22"/>
  <c r="O62" i="22"/>
  <c r="R61" i="22"/>
  <c r="U60" i="22"/>
  <c r="O53" i="22"/>
  <c r="P52" i="22"/>
  <c r="O51" i="22"/>
  <c r="P48" i="22"/>
  <c r="A49" i="22"/>
  <c r="M45" i="22"/>
  <c r="M42" i="22"/>
  <c r="R41" i="22"/>
  <c r="R40" i="22"/>
  <c r="P39" i="22"/>
  <c r="A39" i="22"/>
  <c r="A40" i="22" s="1"/>
  <c r="A41" i="22" s="1"/>
  <c r="O38" i="22"/>
  <c r="P36" i="22"/>
  <c r="M35" i="22"/>
  <c r="S34" i="22"/>
  <c r="T34" i="22" s="1"/>
  <c r="N33" i="22"/>
  <c r="G33" i="22"/>
  <c r="F33" i="22" s="1"/>
  <c r="D33" i="22"/>
  <c r="S31" i="22"/>
  <c r="M26" i="22"/>
  <c r="P25" i="22"/>
  <c r="A26" i="22"/>
  <c r="A27" i="22" s="1"/>
  <c r="A28" i="22" s="1"/>
  <c r="A29" i="22" s="1"/>
  <c r="A30" i="22" s="1"/>
  <c r="A31" i="22" s="1"/>
  <c r="A32" i="22" s="1"/>
  <c r="A33" i="22" s="1"/>
  <c r="P23" i="22"/>
  <c r="M22" i="22"/>
  <c r="S21" i="22"/>
  <c r="T21" i="22" s="1"/>
  <c r="N14" i="22"/>
  <c r="G14" i="22"/>
  <c r="D14" i="22"/>
  <c r="D9" i="22"/>
  <c r="V8" i="22"/>
  <c r="W8" i="22" s="1"/>
  <c r="S8" i="22"/>
  <c r="A8" i="22"/>
  <c r="W7" i="22"/>
  <c r="V7" i="22"/>
  <c r="C5" i="22"/>
  <c r="D5" i="22" s="1"/>
  <c r="F5" i="22" s="1"/>
  <c r="G5" i="22" s="1"/>
  <c r="A50" i="22" l="1"/>
  <c r="A51" i="22" s="1"/>
  <c r="A52" i="22" s="1"/>
  <c r="A53" i="22" s="1"/>
  <c r="A54" i="22" s="1"/>
  <c r="N47" i="22"/>
  <c r="H5" i="22"/>
  <c r="I5" i="22" s="1"/>
  <c r="J5" i="22" s="1"/>
  <c r="L5" i="22" s="1"/>
  <c r="O5" i="22" s="1"/>
  <c r="P5" i="22" s="1"/>
  <c r="R5" i="22" s="1"/>
  <c r="S5" i="22" s="1"/>
  <c r="A42" i="22"/>
  <c r="A43" i="22" s="1"/>
  <c r="A44" i="22" s="1"/>
  <c r="A45" i="22" s="1"/>
  <c r="A46" i="22" s="1"/>
  <c r="F14" i="22"/>
  <c r="S14" i="22" s="1"/>
  <c r="G47" i="22"/>
  <c r="F47" i="22" s="1"/>
  <c r="D117" i="22"/>
  <c r="N103" i="22"/>
  <c r="N105" i="22" s="1"/>
  <c r="M7" i="22"/>
  <c r="O7" i="22"/>
  <c r="O9" i="22"/>
  <c r="D47" i="22"/>
  <c r="D107" i="22" s="1"/>
  <c r="O79" i="22"/>
  <c r="R79" i="22"/>
  <c r="M81" i="22"/>
  <c r="P21" i="22"/>
  <c r="S80" i="22"/>
  <c r="M20" i="22"/>
  <c r="S48" i="22"/>
  <c r="R21" i="22"/>
  <c r="V23" i="22"/>
  <c r="M85" i="22"/>
  <c r="P22" i="22"/>
  <c r="S78" i="22"/>
  <c r="P80" i="22"/>
  <c r="O21" i="22"/>
  <c r="M34" i="22"/>
  <c r="M48" i="22"/>
  <c r="R80" i="22"/>
  <c r="M38" i="22"/>
  <c r="O61" i="22"/>
  <c r="R113" i="22"/>
  <c r="M13" i="22"/>
  <c r="S38" i="22"/>
  <c r="R52" i="22"/>
  <c r="P61" i="22"/>
  <c r="O13" i="22"/>
  <c r="R13" i="22"/>
  <c r="S23" i="22"/>
  <c r="P38" i="22"/>
  <c r="M62" i="22"/>
  <c r="O26" i="22"/>
  <c r="S26" i="22"/>
  <c r="O35" i="22"/>
  <c r="O40" i="22"/>
  <c r="S52" i="22"/>
  <c r="O34" i="22"/>
  <c r="O23" i="22"/>
  <c r="P34" i="22"/>
  <c r="O42" i="22"/>
  <c r="O49" i="22"/>
  <c r="S70" i="22"/>
  <c r="U15" i="22"/>
  <c r="M21" i="22"/>
  <c r="M25" i="22"/>
  <c r="S39" i="22"/>
  <c r="T39" i="22" s="1"/>
  <c r="M41" i="22"/>
  <c r="E77" i="22"/>
  <c r="O85" i="22"/>
  <c r="O52" i="22"/>
  <c r="R39" i="22"/>
  <c r="S49" i="22"/>
  <c r="M95" i="22"/>
  <c r="U18" i="22"/>
  <c r="M29" i="22"/>
  <c r="R87" i="22"/>
  <c r="R35" i="22"/>
  <c r="M30" i="22"/>
  <c r="R26" i="22"/>
  <c r="S35" i="22"/>
  <c r="T35" i="22" s="1"/>
  <c r="O39" i="22"/>
  <c r="P26" i="22"/>
  <c r="P35" i="22"/>
  <c r="M37" i="22"/>
  <c r="R49" i="22"/>
  <c r="M53" i="22"/>
  <c r="M82" i="22"/>
  <c r="R85" i="22"/>
  <c r="O90" i="22"/>
  <c r="X47" i="22"/>
  <c r="S33" i="22"/>
  <c r="P33" i="22"/>
  <c r="O33" i="22"/>
  <c r="R33" i="22"/>
  <c r="S84" i="22"/>
  <c r="P84" i="22"/>
  <c r="O84" i="22"/>
  <c r="R84" i="22"/>
  <c r="O18" i="22"/>
  <c r="R18" i="22"/>
  <c r="P18" i="22"/>
  <c r="S18" i="22"/>
  <c r="U47" i="22"/>
  <c r="V45" i="22"/>
  <c r="S30" i="22"/>
  <c r="M44" i="22"/>
  <c r="R12" i="22"/>
  <c r="R17" i="22"/>
  <c r="R7" i="22"/>
  <c r="M8" i="22"/>
  <c r="P12" i="22"/>
  <c r="S12" i="22"/>
  <c r="S29" i="22"/>
  <c r="T29" i="22" s="1"/>
  <c r="M31" i="22"/>
  <c r="S7" i="22"/>
  <c r="O8" i="22"/>
  <c r="R8" i="22"/>
  <c r="O11" i="22"/>
  <c r="R11" i="22"/>
  <c r="R15" i="22"/>
  <c r="O16" i="22"/>
  <c r="R20" i="22"/>
  <c r="V21" i="22"/>
  <c r="P29" i="22"/>
  <c r="O31" i="22"/>
  <c r="P37" i="22"/>
  <c r="O41" i="22"/>
  <c r="R45" i="22"/>
  <c r="O46" i="22"/>
  <c r="O63" i="22"/>
  <c r="M63" i="22"/>
  <c r="M83" i="22"/>
  <c r="O83" i="22"/>
  <c r="R83" i="22"/>
  <c r="P20" i="22"/>
  <c r="R23" i="22"/>
  <c r="R27" i="22"/>
  <c r="O27" i="22"/>
  <c r="M28" i="22"/>
  <c r="R36" i="22"/>
  <c r="O36" i="22"/>
  <c r="S36" i="22"/>
  <c r="S51" i="22"/>
  <c r="M12" i="22"/>
  <c r="R30" i="22"/>
  <c r="O30" i="22"/>
  <c r="O12" i="22"/>
  <c r="S19" i="22"/>
  <c r="P19" i="22"/>
  <c r="O28" i="22"/>
  <c r="P30" i="22"/>
  <c r="R37" i="22"/>
  <c r="S44" i="22"/>
  <c r="P44" i="22"/>
  <c r="R44" i="22"/>
  <c r="M46" i="22"/>
  <c r="M52" i="22"/>
  <c r="R53" i="22"/>
  <c r="R86" i="22"/>
  <c r="O86" i="22"/>
  <c r="S17" i="22"/>
  <c r="O19" i="22"/>
  <c r="M39" i="22"/>
  <c r="R70" i="22"/>
  <c r="O70" i="22"/>
  <c r="M17" i="22"/>
  <c r="R28" i="22"/>
  <c r="O17" i="22"/>
  <c r="M11" i="22"/>
  <c r="M15" i="22"/>
  <c r="P17" i="22"/>
  <c r="S37" i="22"/>
  <c r="O44" i="22"/>
  <c r="P7" i="22"/>
  <c r="R16" i="22"/>
  <c r="M19" i="22"/>
  <c r="R19" i="22"/>
  <c r="M16" i="22"/>
  <c r="R29" i="22"/>
  <c r="O29" i="22"/>
  <c r="O37" i="22"/>
  <c r="R46" i="22"/>
  <c r="P53" i="22"/>
  <c r="O15" i="22"/>
  <c r="R25" i="22"/>
  <c r="R31" i="22"/>
  <c r="O78" i="22"/>
  <c r="M78" i="22"/>
  <c r="P78" i="22"/>
  <c r="D93" i="22"/>
  <c r="D103" i="22"/>
  <c r="D105" i="22" s="1"/>
  <c r="P8" i="22"/>
  <c r="O20" i="22"/>
  <c r="S20" i="22"/>
  <c r="R22" i="22"/>
  <c r="O22" i="22"/>
  <c r="S22" i="22"/>
  <c r="M23" i="22"/>
  <c r="O25" i="22"/>
  <c r="T25" i="22"/>
  <c r="M27" i="22"/>
  <c r="P31" i="22"/>
  <c r="R34" i="22"/>
  <c r="M36" i="22"/>
  <c r="R38" i="22"/>
  <c r="S42" i="22"/>
  <c r="P42" i="22"/>
  <c r="R42" i="22"/>
  <c r="O45" i="22"/>
  <c r="R48" i="22"/>
  <c r="O48" i="22"/>
  <c r="R51" i="22"/>
  <c r="P63" i="22"/>
  <c r="R81" i="22"/>
  <c r="O81" i="22"/>
  <c r="P83" i="22"/>
  <c r="S86" i="22"/>
  <c r="S88" i="22"/>
  <c r="P88" i="22"/>
  <c r="M88" i="22"/>
  <c r="R88" i="22"/>
  <c r="M61" i="22"/>
  <c r="G91" i="22"/>
  <c r="G93" i="22" s="1"/>
  <c r="F93" i="22" s="1"/>
  <c r="E84" i="22"/>
  <c r="M84" i="22" s="1"/>
  <c r="P62" i="22"/>
  <c r="R62" i="22"/>
  <c r="M80" i="22"/>
  <c r="E117" i="22"/>
  <c r="N93" i="22"/>
  <c r="P82" i="22"/>
  <c r="R82" i="22"/>
  <c r="R95" i="22"/>
  <c r="O95" i="22"/>
  <c r="S90" i="22"/>
  <c r="P90" i="22"/>
  <c r="M90" i="22"/>
  <c r="R90" i="22"/>
  <c r="M113" i="22"/>
  <c r="M87" i="22"/>
  <c r="S87" i="22"/>
  <c r="P14" i="22" l="1"/>
  <c r="R14" i="22"/>
  <c r="M14" i="22"/>
  <c r="O14" i="22"/>
  <c r="E91" i="22"/>
  <c r="G103" i="22"/>
  <c r="F91" i="22"/>
  <c r="P91" i="22" s="1"/>
  <c r="G75" i="22"/>
  <c r="F75" i="22" s="1"/>
  <c r="S9" i="22"/>
  <c r="R9" i="22"/>
  <c r="G107" i="22"/>
  <c r="P9" i="22"/>
  <c r="N75" i="22"/>
  <c r="N107" i="22"/>
  <c r="N120" i="22" s="1"/>
  <c r="N132" i="22" s="1"/>
  <c r="N109" i="22"/>
  <c r="N111" i="22" s="1"/>
  <c r="M33" i="22"/>
  <c r="M18" i="22"/>
  <c r="D109" i="22"/>
  <c r="D111" i="22" s="1"/>
  <c r="M9" i="22"/>
  <c r="P113" i="22"/>
  <c r="O100" i="22"/>
  <c r="M100" i="22"/>
  <c r="R100" i="22"/>
  <c r="D118" i="22"/>
  <c r="D116" i="22" s="1"/>
  <c r="D71" i="22"/>
  <c r="D68" i="22" s="1"/>
  <c r="O65" i="22"/>
  <c r="P65" i="22"/>
  <c r="M65" i="22"/>
  <c r="R65" i="22"/>
  <c r="U75" i="22"/>
  <c r="M60" i="22"/>
  <c r="S60" i="22"/>
  <c r="P60" i="22"/>
  <c r="R60" i="22"/>
  <c r="O60" i="22"/>
  <c r="M47" i="22"/>
  <c r="M72" i="22"/>
  <c r="P72" i="22"/>
  <c r="O72" i="22"/>
  <c r="R72" i="22"/>
  <c r="S72" i="22"/>
  <c r="R47" i="22"/>
  <c r="O47" i="22"/>
  <c r="U45" i="22"/>
  <c r="W45" i="22" s="1"/>
  <c r="S47" i="22"/>
  <c r="P47" i="22"/>
  <c r="O113" i="22"/>
  <c r="R77" i="22"/>
  <c r="P77" i="22"/>
  <c r="S77" i="22"/>
  <c r="O77" i="22"/>
  <c r="M77" i="22"/>
  <c r="P99" i="22"/>
  <c r="E93" i="22" l="1"/>
  <c r="E109" i="22" s="1"/>
  <c r="E111" i="22" s="1"/>
  <c r="G105" i="22"/>
  <c r="F105" i="22" s="1"/>
  <c r="F103" i="22"/>
  <c r="G109" i="22"/>
  <c r="G111" i="22" s="1"/>
  <c r="F111" i="22" s="1"/>
  <c r="P93" i="22"/>
  <c r="G120" i="22"/>
  <c r="F107" i="22"/>
  <c r="O107" i="22" s="1"/>
  <c r="R101" i="22"/>
  <c r="O101" i="22"/>
  <c r="O117" i="22"/>
  <c r="S117" i="22"/>
  <c r="R117" i="22"/>
  <c r="M117" i="22"/>
  <c r="P117" i="22"/>
  <c r="D115" i="22"/>
  <c r="D120" i="22" s="1"/>
  <c r="D132" i="22" s="1"/>
  <c r="D75" i="22"/>
  <c r="D122" i="22" s="1"/>
  <c r="E122" i="22" s="1"/>
  <c r="E107" i="22"/>
  <c r="O99" i="22"/>
  <c r="R99" i="22"/>
  <c r="S91" i="22"/>
  <c r="M91" i="22"/>
  <c r="O91" i="22"/>
  <c r="R91" i="22"/>
  <c r="N122" i="22"/>
  <c r="X75" i="22"/>
  <c r="F109" i="22" l="1"/>
  <c r="F120" i="22"/>
  <c r="F135" i="22" s="1"/>
  <c r="G132" i="22"/>
  <c r="M107" i="22"/>
  <c r="R107" i="22"/>
  <c r="S107" i="22"/>
  <c r="P107" i="22"/>
  <c r="S93" i="22"/>
  <c r="M93" i="22"/>
  <c r="R93" i="22"/>
  <c r="O93" i="22"/>
  <c r="E118" i="22"/>
  <c r="E116" i="22" s="1"/>
  <c r="O118" i="22"/>
  <c r="R118" i="22"/>
  <c r="S118" i="22"/>
  <c r="P118" i="22"/>
  <c r="R73" i="22"/>
  <c r="O73" i="22"/>
  <c r="S73" i="22"/>
  <c r="P73" i="22"/>
  <c r="M73" i="22"/>
  <c r="S105" i="22" l="1"/>
  <c r="P105" i="22"/>
  <c r="O105" i="22"/>
  <c r="R105" i="22"/>
  <c r="M118" i="22"/>
  <c r="G122" i="22"/>
  <c r="F122" i="22" s="1"/>
  <c r="S71" i="22"/>
  <c r="P71" i="22"/>
  <c r="M71" i="22"/>
  <c r="R71" i="22"/>
  <c r="O71" i="22"/>
  <c r="E115" i="22"/>
  <c r="E120" i="22" s="1"/>
  <c r="E103" i="22"/>
  <c r="E105" i="22" s="1"/>
  <c r="M105" i="22" s="1"/>
  <c r="M99" i="22"/>
  <c r="S111" i="22"/>
  <c r="M111" i="22"/>
  <c r="R111" i="22"/>
  <c r="O111" i="22"/>
  <c r="P111" i="22"/>
  <c r="S103" i="22"/>
  <c r="P103" i="22"/>
  <c r="R103" i="22"/>
  <c r="O103" i="22"/>
  <c r="O116" i="22"/>
  <c r="S116" i="22"/>
  <c r="P116" i="22"/>
  <c r="M116" i="22"/>
  <c r="R116" i="22"/>
  <c r="S109" i="22"/>
  <c r="M109" i="22"/>
  <c r="P109" i="22"/>
  <c r="R109" i="22"/>
  <c r="O109" i="22"/>
  <c r="E132" i="22" l="1"/>
  <c r="E135" i="22"/>
  <c r="P68" i="22"/>
  <c r="R68" i="22"/>
  <c r="S68" i="22"/>
  <c r="M68" i="22"/>
  <c r="O68" i="22"/>
  <c r="O122" i="22"/>
  <c r="P122" i="22"/>
  <c r="M122" i="22"/>
  <c r="R122" i="22"/>
  <c r="S122" i="22"/>
  <c r="O115" i="22"/>
  <c r="M115" i="22"/>
  <c r="R115" i="22"/>
  <c r="P115" i="22"/>
  <c r="S115" i="22"/>
  <c r="M103" i="22"/>
  <c r="O120" i="22" l="1"/>
  <c r="R120" i="22"/>
  <c r="F132" i="22"/>
  <c r="S120" i="22"/>
  <c r="M120" i="22"/>
  <c r="P120" i="22"/>
  <c r="P75" i="22"/>
  <c r="M75" i="22"/>
  <c r="S75" i="22"/>
  <c r="R75" i="22"/>
  <c r="O75" i="22"/>
  <c r="U120" i="22" l="1"/>
</calcChain>
</file>

<file path=xl/sharedStrings.xml><?xml version="1.0" encoding="utf-8"?>
<sst xmlns="http://schemas.openxmlformats.org/spreadsheetml/2006/main" count="225" uniqueCount="213">
  <si>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</si>
  <si>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</si>
  <si>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</si>
  <si>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</si>
  <si>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</si>
  <si>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</si>
  <si>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</si>
  <si>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</si>
  <si>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</si>
  <si>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</si>
  <si>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</si>
  <si>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</si>
  <si>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</si>
  <si>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</si>
  <si>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</si>
  <si>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</si>
  <si>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</si>
  <si>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</si>
  <si>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</si>
  <si>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</si>
  <si>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</si>
  <si>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</si>
  <si>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</si>
  <si>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</si>
  <si>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</si>
  <si>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</si>
  <si>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</si>
  <si>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</si>
  <si>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</si>
  <si>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</si>
  <si>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</si>
  <si>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</si>
  <si>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</si>
  <si>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</si>
  <si>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</si>
  <si>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</si>
  <si>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</si>
  <si>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</si>
  <si>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</si>
  <si>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</si>
  <si>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</si>
  <si>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</si>
  <si>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</si>
  <si>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</si>
  <si>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</si>
  <si>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</si>
  <si>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</si>
  <si>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</si>
  <si>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</si>
  <si>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</si>
  <si>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</si>
  <si>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</si>
  <si>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</si>
  <si>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</si>
  <si>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</si>
  <si>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</si>
  <si>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</si>
  <si>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</si>
  <si>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</si>
  <si>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</si>
  <si>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</si>
  <si>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</si>
  <si>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</si>
  <si>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</si>
  <si>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</si>
  <si>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</si>
  <si>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</si>
  <si>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</si>
  <si>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</si>
  <si>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</si>
  <si>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</si>
  <si>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</si>
  <si>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</si>
  <si>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</si>
  <si>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</si>
  <si>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</si>
  <si>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</si>
  <si>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</si>
  <si>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</si>
  <si>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</si>
  <si>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</si>
  <si>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</si>
  <si>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</si>
  <si>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</si>
  <si>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</si>
  <si>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</si>
  <si>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</si>
  <si>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</si>
  <si>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</si>
  <si>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</si>
  <si>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</si>
  <si>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</si>
  <si>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</si>
  <si>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</si>
  <si>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</si>
  <si>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</si>
  <si>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</si>
  <si>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</si>
  <si>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</si>
  <si>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</si>
  <si>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</si>
  <si>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</si>
  <si>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</si>
  <si>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</si>
  <si>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</si>
  <si>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</si>
  <si>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</si>
  <si>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</si>
  <si>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</si>
  <si>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</si>
  <si>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</si>
  <si>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</si>
  <si>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</si>
  <si>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</si>
  <si>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</si>
  <si>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</si>
  <si>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</si>
  <si>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</si>
  <si>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</si>
  <si>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</si>
  <si>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</si>
  <si>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</si>
  <si>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</si>
  <si>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</si>
  <si>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</si>
  <si>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</si>
  <si>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</si>
  <si>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</si>
  <si>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</si>
  <si>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</si>
  <si>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</si>
  <si>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</si>
  <si>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</si>
  <si>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</si>
  <si>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t>41055000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</si>
  <si>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</si>
  <si>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</si>
  <si>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</si>
  <si>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</si>
  <si>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</si>
  <si>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</si>
  <si>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</si>
  <si>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</si>
  <si>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</si>
  <si>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</si>
  <si>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</si>
  <si>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</si>
  <si>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</si>
  <si>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</si>
  <si>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</si>
  <si>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</si>
  <si>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</si>
  <si>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</si>
  <si>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</si>
  <si>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</si>
  <si>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</si>
  <si>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</si>
  <si>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</si>
  <si>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</si>
  <si>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</si>
  <si>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</si>
  <si>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субвенція+медична субвенція+реверсна дотація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</si>
  <si>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</si>
  <si>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</si>
  <si>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</si>
  <si>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</si>
  <si>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</si>
  <si>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</si>
  <si>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</si>
  <si>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</si>
  <si>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</si>
  <si>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</si>
  <si>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 (на будівництво мережі каналізації на території приватного сектору квартального комітету «Добробут» мікрорайону «Старе місто» в м.Вінниці)</t>
    </r>
  </si>
  <si>
    <t>квітень</t>
  </si>
  <si>
    <t>41051400</t>
  </si>
  <si>
    <t>41034500</t>
  </si>
  <si>
    <t>11.1.</t>
  </si>
  <si>
    <t>11.2.</t>
  </si>
  <si>
    <t>11.3.</t>
  </si>
  <si>
    <t>11.4.</t>
  </si>
  <si>
    <t>11.5.</t>
  </si>
  <si>
    <t>11.6.</t>
  </si>
  <si>
    <t>травень</t>
  </si>
  <si>
    <t>Надійшло за січень - червень 2021р.</t>
  </si>
  <si>
    <t>червень</t>
  </si>
  <si>
    <t>План на січень - червень 2021 року</t>
  </si>
  <si>
    <t>Відхилення надходжень до бюджету на січень - червня 2021 року</t>
  </si>
  <si>
    <t>Надійшло за січень - червень 2020р.</t>
  </si>
  <si>
    <t>Відхилення факту січня - травня 2021р. від факту січня - червня 2020р.</t>
  </si>
  <si>
    <r>
      <t xml:space="preserve">Субвенція з сільського бюджету села Вінницькі Хутори Вінницького району </t>
    </r>
    <r>
      <rPr>
        <b/>
        <i/>
        <u/>
        <sz val="15"/>
        <rFont val="Times New Roman"/>
        <family val="1"/>
        <charset val="204"/>
      </rPr>
      <t>на капітальний ремонт дороги по вул. Войцехівського м.Вінниці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</si>
  <si>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фінансове забезпечення будівництва, реконструкції, ремонту і утримання автомобільних доріг</t>
    </r>
    <r>
      <rPr>
        <sz val="15"/>
        <rFont val="Times New Roman"/>
        <family val="1"/>
        <charset val="204"/>
      </rPr>
      <t xml:space="preserve">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  </r>
  </si>
  <si>
    <t>41052600</t>
  </si>
  <si>
    <t>6.5.</t>
  </si>
  <si>
    <r>
      <rPr>
        <b/>
        <u/>
        <sz val="14.5"/>
        <rFont val="Times New Roman"/>
        <family val="1"/>
        <charset val="204"/>
      </rPr>
      <t>Медична субвенція з державного бюджету</t>
    </r>
    <r>
      <rPr>
        <sz val="14.5"/>
        <rFont val="Times New Roman"/>
        <family val="1"/>
        <charset val="204"/>
      </rPr>
      <t xml:space="preserve"> місцевим бюджетам</t>
    </r>
  </si>
  <si>
    <r>
      <t xml:space="preserve">Субвенція з державного бюджету місцевим бюджетам </t>
    </r>
    <r>
      <rPr>
        <b/>
        <u/>
        <sz val="14.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4.5"/>
        <rFont val="Times New Roman"/>
        <family val="1"/>
        <charset val="204"/>
      </rPr>
      <t xml:space="preserve"> окремих територій</t>
    </r>
  </si>
  <si>
    <r>
      <rPr>
        <b/>
        <sz val="14.5"/>
        <rFont val="Times New Roman"/>
        <family val="1"/>
        <charset val="204"/>
      </rPr>
      <t>Дотація з місцевого бюджету</t>
    </r>
    <r>
      <rPr>
        <sz val="14.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</si>
  <si>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 xml:space="preserve">Субвенція з місцевого бюджету </t>
    </r>
    <r>
      <rPr>
        <b/>
        <u/>
        <sz val="14.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</si>
  <si>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4.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4.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</si>
  <si>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місцевого бюджету на забезпечення якісної, сучасної та доступної загальної середньої освіти </t>
    </r>
    <r>
      <rPr>
        <b/>
        <u/>
        <sz val="14.5"/>
        <rFont val="Times New Roman"/>
        <family val="1"/>
        <charset val="204"/>
      </rPr>
      <t>"Нова українська школа"</t>
    </r>
    <r>
      <rPr>
        <sz val="14.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</si>
  <si>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>Субвенція з місцевого бюджету на здійснення переданих видатків у</t>
    </r>
    <r>
      <rPr>
        <b/>
        <u/>
        <sz val="14.5"/>
        <rFont val="Times New Roman Cyr"/>
        <charset val="204"/>
      </rPr>
      <t xml:space="preserve"> сфері охорони злоров'я за рахунок коштів медичної субвенції</t>
    </r>
  </si>
  <si>
    <r>
      <t xml:space="preserve">Субвенція з місцевого бюджету </t>
    </r>
    <r>
      <rPr>
        <b/>
        <u/>
        <sz val="14.5"/>
        <rFont val="Times New Roman"/>
        <family val="1"/>
        <charset val="204"/>
      </rPr>
      <t>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  </r>
  </si>
  <si>
    <r>
      <t xml:space="preserve">Субвенція з місцевого бюджету </t>
    </r>
    <r>
      <rPr>
        <b/>
        <u/>
        <sz val="14.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4.5"/>
        <rFont val="Times New Roman Cyr"/>
        <charset val="204"/>
      </rPr>
      <t xml:space="preserve"> за рахунок відповідної субвенції з державного бюджету</t>
    </r>
  </si>
  <si>
    <r>
      <rPr>
        <b/>
        <u/>
        <sz val="14.5"/>
        <rFont val="Times New Roman Cyr"/>
        <charset val="204"/>
      </rPr>
      <t xml:space="preserve">Інші субвенції </t>
    </r>
    <r>
      <rPr>
        <sz val="14.5"/>
        <rFont val="Times New Roman Cyr"/>
        <charset val="204"/>
      </rPr>
      <t>з місцевого бюджету</t>
    </r>
  </si>
  <si>
    <r>
      <t xml:space="preserve">* субвенція з обласного бюджету на відшкодування витрат </t>
    </r>
    <r>
      <rPr>
        <b/>
        <i/>
        <u/>
        <sz val="14.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</si>
  <si>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субвенція з обласного бюджету на пільгове медичне обслуговування  громадян, які </t>
    </r>
    <r>
      <rPr>
        <b/>
        <i/>
        <u/>
        <sz val="14.5"/>
        <rFont val="Times New Roman Cyr"/>
        <charset val="204"/>
      </rPr>
      <t>постраждали внаслідок Чорнобильської катастрофи</t>
    </r>
  </si>
  <si>
    <r>
      <t>* субвенція з обласного бюджету на компенсаційні</t>
    </r>
    <r>
      <rPr>
        <b/>
        <i/>
        <u/>
        <sz val="14.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4.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</si>
  <si>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субвенція з обласного бюджету </t>
    </r>
    <r>
      <rPr>
        <b/>
        <i/>
        <u/>
        <sz val="14.5"/>
        <rFont val="Times New Roman Cyr"/>
        <charset val="204"/>
      </rPr>
      <t>на компенсаційні виплати за пільговий проїзд окремих категорій громадян</t>
    </r>
    <r>
      <rPr>
        <i/>
        <sz val="14.5"/>
        <rFont val="Times New Roman Cyr"/>
        <charset val="204"/>
      </rPr>
      <t xml:space="preserve"> на міжміських внутрішньообласних маршрутах загального користування</t>
    </r>
  </si>
  <si>
    <r>
      <t xml:space="preserve">* субвенція з обласного бюджету для забезпечення витратними матеріалами (кардіовиробами) хворих області в </t>
    </r>
    <r>
      <rPr>
        <b/>
        <i/>
        <u/>
        <sz val="14.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</si>
  <si>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r>
      <t xml:space="preserve">субвенція з </t>
    </r>
    <r>
      <rPr>
        <b/>
        <i/>
        <u/>
        <sz val="14.5"/>
        <rFont val="Times New Roman Cyr"/>
        <charset val="204"/>
      </rPr>
      <t xml:space="preserve">бюджету Вороновицької </t>
    </r>
    <r>
      <rPr>
        <i/>
        <sz val="14.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4.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4.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</si>
  <si>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t>Директор департаменту</t>
  </si>
  <si>
    <t>Наталія Луценко</t>
  </si>
  <si>
    <t>% виконання до уточненого плану на 2021р.</t>
  </si>
  <si>
    <t>Аналіз виконання бюджету Вінницької міської територіальної громади по доходах за січень - червень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</si>
</sst>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6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u/>
      <sz val="15"/>
      <name val="Times New Roman"/>
      <family val="1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5"/>
      <name val="Times New Roman Cyr"/>
      <charset val="204"/>
    </font>
    <font>
      <b/>
      <i/>
      <u/>
      <sz val="15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.5"/>
      <name val="Times New Roman"/>
      <family val="1"/>
      <charset val="204"/>
    </font>
    <font>
      <i/>
      <sz val="14.5"/>
      <name val="Times New Roman Cyr"/>
      <charset val="204"/>
    </font>
    <font>
      <sz val="14.5"/>
      <name val="Times New Roman Cyr"/>
      <charset val="204"/>
    </font>
    <font>
      <i/>
      <sz val="14.5"/>
      <name val="Times New Roman"/>
      <family val="1"/>
      <charset val="204"/>
    </font>
    <font>
      <b/>
      <u/>
      <sz val="14.5"/>
      <name val="Times New Roman"/>
      <family val="1"/>
      <charset val="204"/>
    </font>
    <font>
      <b/>
      <sz val="14.5"/>
      <name val="Times New Roman"/>
      <family val="1"/>
      <charset val="204"/>
    </font>
    <font>
      <b/>
      <u/>
      <sz val="14.5"/>
      <name val="Times New Roman Cyr"/>
      <charset val="204"/>
    </font>
    <font>
      <b/>
      <i/>
      <u/>
      <sz val="14.5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8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1" fillId="0" borderId="0"/>
    <xf numFmtId="0" fontId="36" fillId="0" borderId="0"/>
    <xf numFmtId="0" fontId="36" fillId="0" borderId="0"/>
    <xf numFmtId="0" fontId="49" fillId="0" borderId="0"/>
  </cellStyleXfs>
  <cellXfs count="234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/>
    <xf numFmtId="0" fontId="3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19" fillId="0" borderId="0" xfId="2" applyFont="1" applyFill="1"/>
    <xf numFmtId="0" fontId="3" fillId="0" borderId="0" xfId="2" applyFont="1" applyFill="1"/>
    <xf numFmtId="0" fontId="19" fillId="0" borderId="0" xfId="2" applyFont="1" applyFill="1" applyBorder="1"/>
    <xf numFmtId="0" fontId="18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0" fontId="3" fillId="2" borderId="0" xfId="2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3" fillId="2" borderId="1" xfId="1" applyFont="1" applyFill="1" applyBorder="1" applyAlignment="1">
      <alignment horizontal="center" vertical="center"/>
    </xf>
    <xf numFmtId="2" fontId="34" fillId="2" borderId="1" xfId="1" applyNumberFormat="1" applyFont="1" applyFill="1" applyBorder="1" applyAlignment="1">
      <alignment horizontal="center" vertical="center" wrapText="1"/>
    </xf>
    <xf numFmtId="166" fontId="34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0" fontId="34" fillId="2" borderId="1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vertical="center"/>
    </xf>
    <xf numFmtId="0" fontId="19" fillId="2" borderId="0" xfId="2" applyFont="1" applyFill="1" applyBorder="1"/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166" fontId="32" fillId="2" borderId="1" xfId="1" applyNumberFormat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1" fontId="16" fillId="2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5" fillId="0" borderId="0" xfId="3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0" fontId="34" fillId="0" borderId="1" xfId="3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6" fontId="21" fillId="2" borderId="0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7" fontId="32" fillId="0" borderId="0" xfId="3" applyNumberFormat="1" applyFont="1" applyFill="1"/>
    <xf numFmtId="166" fontId="38" fillId="0" borderId="1" xfId="3" applyNumberFormat="1" applyFont="1" applyFill="1" applyBorder="1" applyAlignment="1">
      <alignment horizontal="center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0" fontId="39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left" vertical="center" wrapText="1"/>
    </xf>
    <xf numFmtId="167" fontId="32" fillId="2" borderId="0" xfId="3" applyNumberFormat="1" applyFont="1" applyFill="1"/>
    <xf numFmtId="166" fontId="40" fillId="2" borderId="1" xfId="3" applyNumberFormat="1" applyFont="1" applyFill="1" applyBorder="1" applyAlignment="1">
      <alignment horizontal="center" vertical="center" wrapText="1"/>
    </xf>
    <xf numFmtId="166" fontId="41" fillId="0" borderId="1" xfId="0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49" fontId="38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7" fontId="40" fillId="2" borderId="1" xfId="1" applyNumberFormat="1" applyFont="1" applyFill="1" applyBorder="1" applyAlignment="1">
      <alignment horizontal="center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166" fontId="34" fillId="2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166" fontId="32" fillId="2" borderId="0" xfId="1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49" fontId="23" fillId="0" borderId="1" xfId="3" applyNumberFormat="1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43" fillId="0" borderId="1" xfId="3" applyNumberFormat="1" applyFont="1" applyFill="1" applyBorder="1" applyAlignment="1">
      <alignment horizontal="left" vertical="center" wrapText="1" shrinkToFit="1"/>
    </xf>
    <xf numFmtId="0" fontId="5" fillId="0" borderId="0" xfId="2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5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165" fontId="46" fillId="2" borderId="1" xfId="1" applyNumberFormat="1" applyFont="1" applyFill="1" applyBorder="1" applyAlignment="1">
      <alignment horizontal="center" vertical="center" wrapText="1"/>
    </xf>
    <xf numFmtId="166" fontId="46" fillId="2" borderId="1" xfId="1" applyNumberFormat="1" applyFont="1" applyFill="1" applyBorder="1" applyAlignment="1">
      <alignment horizontal="center" vertical="center" wrapText="1"/>
    </xf>
    <xf numFmtId="166" fontId="46" fillId="2" borderId="1" xfId="3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/>
    <xf numFmtId="0" fontId="45" fillId="2" borderId="0" xfId="1" applyFont="1" applyFill="1" applyBorder="1"/>
    <xf numFmtId="49" fontId="46" fillId="2" borderId="1" xfId="1" applyNumberFormat="1" applyFont="1" applyFill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horizontal="center" vertical="center" wrapText="1"/>
    </xf>
    <xf numFmtId="49" fontId="46" fillId="0" borderId="1" xfId="1" applyNumberFormat="1" applyFont="1" applyFill="1" applyBorder="1" applyAlignment="1">
      <alignment horizontal="center" vertical="center" wrapText="1"/>
    </xf>
    <xf numFmtId="166" fontId="46" fillId="0" borderId="1" xfId="1" applyNumberFormat="1" applyFont="1" applyFill="1" applyBorder="1" applyAlignment="1">
      <alignment horizontal="center" vertical="center" wrapText="1"/>
    </xf>
    <xf numFmtId="166" fontId="46" fillId="0" borderId="1" xfId="3" applyNumberFormat="1" applyFont="1" applyFill="1" applyBorder="1" applyAlignment="1">
      <alignment horizontal="center" vertical="center"/>
    </xf>
    <xf numFmtId="164" fontId="46" fillId="0" borderId="1" xfId="3" applyNumberFormat="1" applyFont="1" applyFill="1" applyBorder="1" applyAlignment="1">
      <alignment horizontal="center" vertical="center"/>
    </xf>
    <xf numFmtId="0" fontId="45" fillId="0" borderId="0" xfId="1" applyFont="1" applyFill="1" applyBorder="1"/>
    <xf numFmtId="0" fontId="45" fillId="2" borderId="1" xfId="1" applyFont="1" applyFill="1" applyBorder="1" applyAlignment="1">
      <alignment vertical="center"/>
    </xf>
    <xf numFmtId="0" fontId="45" fillId="0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6" fontId="21" fillId="0" borderId="1" xfId="3" applyNumberFormat="1" applyFont="1" applyFill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7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 wrapText="1"/>
    </xf>
    <xf numFmtId="0" fontId="47" fillId="0" borderId="0" xfId="1" applyFont="1" applyFill="1" applyBorder="1"/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6" fontId="41" fillId="2" borderId="1" xfId="3" applyNumberFormat="1" applyFont="1" applyFill="1" applyBorder="1" applyAlignment="1">
      <alignment horizontal="center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7" fontId="32" fillId="0" borderId="0" xfId="3" applyNumberFormat="1" applyFont="1" applyFill="1"/>
    <xf numFmtId="166" fontId="32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165" fontId="16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166" fontId="53" fillId="2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54" fillId="0" borderId="1" xfId="3" applyFont="1" applyFill="1" applyBorder="1" applyAlignment="1">
      <alignment horizontal="left" vertical="center" wrapText="1"/>
    </xf>
    <xf numFmtId="49" fontId="55" fillId="0" borderId="1" xfId="3" applyNumberFormat="1" applyFont="1" applyFill="1" applyBorder="1" applyAlignment="1">
      <alignment horizontal="left" vertical="center" wrapText="1"/>
    </xf>
    <xf numFmtId="0" fontId="56" fillId="0" borderId="1" xfId="2" applyFont="1" applyFill="1" applyBorder="1" applyAlignment="1">
      <alignment horizontal="left" vertical="center" wrapText="1"/>
    </xf>
    <xf numFmtId="0" fontId="57" fillId="0" borderId="1" xfId="3" applyFont="1" applyFill="1" applyBorder="1" applyAlignment="1">
      <alignment horizontal="left" vertical="center" wrapText="1"/>
    </xf>
    <xf numFmtId="0" fontId="54" fillId="0" borderId="1" xfId="2" applyFont="1" applyFill="1" applyBorder="1" applyAlignment="1">
      <alignment vertical="center" wrapText="1"/>
    </xf>
    <xf numFmtId="49" fontId="54" fillId="0" borderId="1" xfId="3" applyNumberFormat="1" applyFont="1" applyFill="1" applyBorder="1" applyAlignment="1">
      <alignment horizontal="left" vertical="center" wrapText="1"/>
    </xf>
    <xf numFmtId="49" fontId="57" fillId="0" borderId="1" xfId="3" applyNumberFormat="1" applyFont="1" applyFill="1" applyBorder="1" applyAlignment="1">
      <alignment horizontal="left" vertical="center" wrapText="1"/>
    </xf>
    <xf numFmtId="49" fontId="55" fillId="0" borderId="1" xfId="2" applyNumberFormat="1" applyFont="1" applyFill="1" applyBorder="1" applyAlignment="1">
      <alignment horizontal="left" vertical="center" wrapText="1"/>
    </xf>
    <xf numFmtId="0" fontId="55" fillId="0" borderId="1" xfId="2" applyNumberFormat="1" applyFont="1" applyFill="1" applyBorder="1" applyAlignment="1">
      <alignment horizontal="left" vertical="center" wrapText="1"/>
    </xf>
    <xf numFmtId="0" fontId="54" fillId="0" borderId="1" xfId="1" applyFont="1" applyFill="1" applyBorder="1" applyAlignment="1">
      <alignment horizontal="left" vertical="center" wrapText="1"/>
    </xf>
    <xf numFmtId="0" fontId="54" fillId="0" borderId="1" xfId="3" applyNumberFormat="1" applyFont="1" applyFill="1" applyBorder="1" applyAlignment="1">
      <alignment horizontal="justify" vertical="center" wrapText="1" shrinkToFit="1"/>
    </xf>
    <xf numFmtId="0" fontId="55" fillId="0" borderId="1" xfId="3" applyNumberFormat="1" applyFont="1" applyFill="1" applyBorder="1" applyAlignment="1">
      <alignment horizontal="left" vertical="center" wrapText="1" shrinkToFit="1"/>
    </xf>
    <xf numFmtId="0" fontId="56" fillId="0" borderId="1" xfId="3" applyNumberFormat="1" applyFont="1" applyFill="1" applyBorder="1" applyAlignment="1">
      <alignment horizontal="justify" vertical="center" wrapText="1" shrinkToFit="1"/>
    </xf>
    <xf numFmtId="49" fontId="31" fillId="0" borderId="3" xfId="3" applyNumberFormat="1" applyFont="1" applyFill="1" applyBorder="1" applyAlignment="1">
      <alignment horizontal="center" vertical="center" wrapText="1"/>
    </xf>
    <xf numFmtId="49" fontId="31" fillId="0" borderId="6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2" borderId="1" xfId="3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24" fillId="0" borderId="2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49" fontId="24" fillId="0" borderId="5" xfId="3" applyNumberFormat="1" applyFont="1" applyFill="1" applyBorder="1" applyAlignment="1">
      <alignment horizontal="center" vertical="center" wrapText="1"/>
    </xf>
    <xf numFmtId="49" fontId="17" fillId="0" borderId="0" xfId="2" applyNumberFormat="1" applyFont="1" applyFill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50"/>
  <sheetViews>
    <sheetView showGridLines="0" tabSelected="1" view="pageBreakPreview" zoomScale="60" zoomScaleNormal="75" workbookViewId="0">
      <pane xSplit="3" ySplit="6" topLeftCell="D97" activePane="bottomRight" state="frozen"/>
      <selection pane="topRight" activeCell="D1" sqref="D1"/>
      <selection pane="bottomLeft" activeCell="A7" sqref="A7"/>
      <selection pane="bottomRight" sqref="A1:S1"/>
    </sheetView>
  </sheetViews>
  <sheetFormatPr defaultRowHeight="12.75" x14ac:dyDescent="0.2"/>
  <cols>
    <col min="1" max="1" width="12.28515625" style="20" customWidth="1"/>
    <col min="2" max="2" width="72.140625" style="20" customWidth="1"/>
    <col min="3" max="3" width="16.140625" style="20" customWidth="1"/>
    <col min="4" max="4" width="23.5703125" style="20" hidden="1" customWidth="1"/>
    <col min="5" max="5" width="25.28515625" style="20" customWidth="1"/>
    <col min="6" max="6" width="23.140625" style="31" customWidth="1"/>
    <col min="7" max="7" width="21.28515625" style="3" hidden="1" customWidth="1"/>
    <col min="8" max="11" width="21.28515625" style="195" hidden="1" customWidth="1"/>
    <col min="12" max="12" width="21.28515625" style="3" hidden="1" customWidth="1"/>
    <col min="13" max="13" width="19.7109375" style="1" customWidth="1"/>
    <col min="14" max="14" width="24.7109375" style="3" hidden="1" customWidth="1"/>
    <col min="15" max="15" width="22.5703125" style="1" hidden="1" customWidth="1"/>
    <col min="16" max="16" width="14.140625" style="1" hidden="1" customWidth="1"/>
    <col min="17" max="17" width="23.7109375" style="31" customWidth="1"/>
    <col min="18" max="18" width="21.85546875" style="1" customWidth="1"/>
    <col min="19" max="19" width="14.7109375" style="3" bestFit="1" customWidth="1"/>
    <col min="20" max="20" width="24.42578125" style="3" hidden="1" customWidth="1"/>
    <col min="21" max="21" width="19.140625" style="3" hidden="1" customWidth="1"/>
    <col min="22" max="22" width="15.85546875" style="3" hidden="1" customWidth="1"/>
    <col min="23" max="23" width="0" style="3" hidden="1" customWidth="1"/>
    <col min="24" max="24" width="24.140625" style="3" bestFit="1" customWidth="1"/>
    <col min="25" max="25" width="9.140625" style="3"/>
    <col min="26" max="26" width="15.140625" style="3" bestFit="1" customWidth="1"/>
    <col min="27" max="16384" width="9.140625" style="3"/>
  </cols>
  <sheetData>
    <row r="1" spans="1:34" ht="30" customHeight="1" x14ac:dyDescent="0.2">
      <c r="A1" s="230" t="s">
        <v>212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34" ht="18.75" x14ac:dyDescent="0.3">
      <c r="A2" s="23" t="s">
        <v>48</v>
      </c>
      <c r="B2" s="18"/>
      <c r="C2" s="18"/>
      <c r="D2" s="96"/>
      <c r="E2" s="18"/>
      <c r="F2" s="96"/>
      <c r="G2" s="18"/>
      <c r="H2" s="196"/>
      <c r="I2" s="196"/>
      <c r="J2" s="196"/>
      <c r="K2" s="196"/>
      <c r="L2" s="18"/>
      <c r="N2" s="96"/>
      <c r="Q2" s="96"/>
      <c r="R2" s="5" t="s">
        <v>13</v>
      </c>
      <c r="S2" s="5"/>
    </row>
    <row r="3" spans="1:34" s="68" customFormat="1" ht="15" customHeight="1" x14ac:dyDescent="0.25">
      <c r="A3" s="233" t="s">
        <v>0</v>
      </c>
      <c r="B3" s="220" t="s">
        <v>1</v>
      </c>
      <c r="C3" s="220" t="s">
        <v>2</v>
      </c>
      <c r="D3" s="221" t="s">
        <v>140</v>
      </c>
      <c r="E3" s="221" t="s">
        <v>141</v>
      </c>
      <c r="F3" s="222" t="s">
        <v>183</v>
      </c>
      <c r="G3" s="218" t="s">
        <v>64</v>
      </c>
      <c r="H3" s="218" t="s">
        <v>155</v>
      </c>
      <c r="I3" s="218" t="s">
        <v>165</v>
      </c>
      <c r="J3" s="218" t="s">
        <v>173</v>
      </c>
      <c r="K3" s="218" t="s">
        <v>182</v>
      </c>
      <c r="L3" s="218" t="s">
        <v>184</v>
      </c>
      <c r="M3" s="221" t="s">
        <v>211</v>
      </c>
      <c r="N3" s="221" t="s">
        <v>185</v>
      </c>
      <c r="O3" s="221" t="s">
        <v>186</v>
      </c>
      <c r="P3" s="221" t="s">
        <v>3</v>
      </c>
      <c r="Q3" s="222" t="s">
        <v>187</v>
      </c>
      <c r="R3" s="221" t="s">
        <v>188</v>
      </c>
      <c r="S3" s="221" t="s">
        <v>3</v>
      </c>
    </row>
    <row r="4" spans="1:34" s="68" customFormat="1" ht="85.5" customHeight="1" x14ac:dyDescent="0.25">
      <c r="A4" s="233"/>
      <c r="B4" s="220"/>
      <c r="C4" s="220"/>
      <c r="D4" s="221"/>
      <c r="E4" s="221"/>
      <c r="F4" s="222"/>
      <c r="G4" s="219"/>
      <c r="H4" s="219"/>
      <c r="I4" s="219"/>
      <c r="J4" s="219"/>
      <c r="K4" s="219"/>
      <c r="L4" s="219"/>
      <c r="M4" s="221"/>
      <c r="N4" s="221"/>
      <c r="O4" s="221"/>
      <c r="P4" s="221"/>
      <c r="Q4" s="222"/>
      <c r="R4" s="221"/>
      <c r="S4" s="221"/>
    </row>
    <row r="5" spans="1:34" s="73" customFormat="1" ht="20.25" x14ac:dyDescent="0.2">
      <c r="A5" s="69" t="s">
        <v>4</v>
      </c>
      <c r="B5" s="70" t="s">
        <v>5</v>
      </c>
      <c r="C5" s="70">
        <f>B5+1</f>
        <v>3</v>
      </c>
      <c r="D5" s="70">
        <f>C5+1</f>
        <v>4</v>
      </c>
      <c r="E5" s="70">
        <v>4</v>
      </c>
      <c r="F5" s="71">
        <f t="shared" ref="F5:S5" si="0">E5+1</f>
        <v>5</v>
      </c>
      <c r="G5" s="70">
        <f t="shared" si="0"/>
        <v>6</v>
      </c>
      <c r="H5" s="175">
        <f t="shared" ref="H5" si="1">G5+1</f>
        <v>7</v>
      </c>
      <c r="I5" s="175">
        <f t="shared" ref="I5" si="2">H5+1</f>
        <v>8</v>
      </c>
      <c r="J5" s="175">
        <f t="shared" ref="J5" si="3">I5+1</f>
        <v>9</v>
      </c>
      <c r="K5" s="175"/>
      <c r="L5" s="175">
        <f t="shared" ref="L5" si="4">J5+1</f>
        <v>10</v>
      </c>
      <c r="M5" s="70">
        <v>6</v>
      </c>
      <c r="N5" s="175">
        <v>8</v>
      </c>
      <c r="O5" s="70">
        <f t="shared" si="0"/>
        <v>9</v>
      </c>
      <c r="P5" s="70">
        <f t="shared" si="0"/>
        <v>10</v>
      </c>
      <c r="Q5" s="71">
        <v>7</v>
      </c>
      <c r="R5" s="70">
        <f t="shared" si="0"/>
        <v>8</v>
      </c>
      <c r="S5" s="70">
        <f t="shared" si="0"/>
        <v>9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s="74" customFormat="1" ht="26.25" customHeight="1" x14ac:dyDescent="0.2">
      <c r="A6" s="227" t="s">
        <v>6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9"/>
    </row>
    <row r="7" spans="1:34" s="77" customFormat="1" ht="38.25" customHeight="1" x14ac:dyDescent="0.25">
      <c r="A7" s="176">
        <v>1</v>
      </c>
      <c r="B7" s="205" t="s">
        <v>68</v>
      </c>
      <c r="C7" s="177" t="s">
        <v>14</v>
      </c>
      <c r="D7" s="182">
        <v>2398057.0789999999</v>
      </c>
      <c r="E7" s="182">
        <v>2398057.0789999999</v>
      </c>
      <c r="F7" s="183">
        <f>SUM(G7:L7)</f>
        <v>1113374.0830000001</v>
      </c>
      <c r="G7" s="182">
        <v>146999.421</v>
      </c>
      <c r="H7" s="182">
        <v>179706.05300000001</v>
      </c>
      <c r="I7" s="182">
        <v>188112.742</v>
      </c>
      <c r="J7" s="182">
        <v>196904.038</v>
      </c>
      <c r="K7" s="182">
        <v>184793.12400000001</v>
      </c>
      <c r="L7" s="182">
        <v>216858.70499999999</v>
      </c>
      <c r="M7" s="186">
        <f t="shared" ref="M7:M23" si="5">F7/E7*100</f>
        <v>46.428172738251995</v>
      </c>
      <c r="N7" s="184">
        <v>1017393.433</v>
      </c>
      <c r="O7" s="185">
        <f t="shared" ref="O7:O41" si="6">F7-N7</f>
        <v>95980.65000000014</v>
      </c>
      <c r="P7" s="186">
        <f t="shared" ref="P7:P14" si="7">F7/N7*100</f>
        <v>109.43397577444361</v>
      </c>
      <c r="Q7" s="183">
        <v>904511.39199999999</v>
      </c>
      <c r="R7" s="185">
        <f t="shared" ref="R7:R38" si="8">F7-Q7</f>
        <v>208862.69100000011</v>
      </c>
      <c r="S7" s="186">
        <f>F7/Q7*100</f>
        <v>123.09121729668608</v>
      </c>
      <c r="T7" s="75"/>
      <c r="U7" s="75"/>
      <c r="V7" s="75">
        <f>T7-U7</f>
        <v>0</v>
      </c>
      <c r="W7" s="76" t="e">
        <f>T7/U7*100</f>
        <v>#DIV/0!</v>
      </c>
    </row>
    <row r="8" spans="1:34" s="77" customFormat="1" ht="43.5" customHeight="1" x14ac:dyDescent="0.25">
      <c r="A8" s="176">
        <f>A7+1</f>
        <v>2</v>
      </c>
      <c r="B8" s="205" t="s">
        <v>35</v>
      </c>
      <c r="C8" s="177" t="s">
        <v>16</v>
      </c>
      <c r="D8" s="182">
        <v>1100</v>
      </c>
      <c r="E8" s="182">
        <v>1100</v>
      </c>
      <c r="F8" s="183">
        <f t="shared" ref="F8:F75" si="9">SUM(G8:L8)</f>
        <v>675.26200000000006</v>
      </c>
      <c r="G8" s="182">
        <v>70</v>
      </c>
      <c r="H8" s="182">
        <v>377.19400000000002</v>
      </c>
      <c r="I8" s="182">
        <v>102.018</v>
      </c>
      <c r="J8" s="182">
        <v>56.6</v>
      </c>
      <c r="K8" s="182">
        <v>69.45</v>
      </c>
      <c r="L8" s="182">
        <v>0</v>
      </c>
      <c r="M8" s="186">
        <f t="shared" si="5"/>
        <v>61.38745454545456</v>
      </c>
      <c r="N8" s="184">
        <v>675</v>
      </c>
      <c r="O8" s="185">
        <f t="shared" si="6"/>
        <v>0.2620000000000573</v>
      </c>
      <c r="P8" s="186">
        <f t="shared" si="7"/>
        <v>100.03881481481483</v>
      </c>
      <c r="Q8" s="183">
        <v>731.505</v>
      </c>
      <c r="R8" s="185">
        <f t="shared" si="8"/>
        <v>-56.242999999999938</v>
      </c>
      <c r="S8" s="186">
        <f>F8/Q8*100</f>
        <v>92.311330749618946</v>
      </c>
      <c r="T8" s="75"/>
      <c r="U8" s="75"/>
      <c r="V8" s="75">
        <f>Q7/0.5</f>
        <v>1809022.784</v>
      </c>
      <c r="W8" s="76">
        <f>U8/V8*100</f>
        <v>0</v>
      </c>
    </row>
    <row r="9" spans="1:34" s="77" customFormat="1" ht="41.25" customHeight="1" x14ac:dyDescent="0.25">
      <c r="A9" s="176">
        <v>3</v>
      </c>
      <c r="B9" s="205" t="s">
        <v>111</v>
      </c>
      <c r="C9" s="177" t="s">
        <v>112</v>
      </c>
      <c r="D9" s="182">
        <f>SUM(D11:D13)</f>
        <v>506.88</v>
      </c>
      <c r="E9" s="182">
        <f>SUM(E10:E13)</f>
        <v>515.38</v>
      </c>
      <c r="F9" s="183">
        <f>SUM(G9:L9)</f>
        <v>213.328</v>
      </c>
      <c r="G9" s="182">
        <f t="shared" ref="G9:N9" si="10">SUM(G10:G13)</f>
        <v>0.54200000000000004</v>
      </c>
      <c r="H9" s="182">
        <f t="shared" si="10"/>
        <v>122.19999999999999</v>
      </c>
      <c r="I9" s="182">
        <f t="shared" si="10"/>
        <v>2.044</v>
      </c>
      <c r="J9" s="182">
        <f t="shared" si="10"/>
        <v>2.8140000000000001</v>
      </c>
      <c r="K9" s="182">
        <f t="shared" ref="K9" si="11">SUM(K10:K13)</f>
        <v>85.728000000000009</v>
      </c>
      <c r="L9" s="182">
        <f t="shared" si="10"/>
        <v>0</v>
      </c>
      <c r="M9" s="186">
        <f t="shared" si="5"/>
        <v>41.392370677946374</v>
      </c>
      <c r="N9" s="184">
        <f t="shared" si="10"/>
        <v>213.17500000000001</v>
      </c>
      <c r="O9" s="185">
        <f t="shared" si="6"/>
        <v>0.15299999999999159</v>
      </c>
      <c r="P9" s="186">
        <f t="shared" si="7"/>
        <v>100.07177201829482</v>
      </c>
      <c r="Q9" s="183">
        <f>SUM(Q10:Q13)</f>
        <v>228.57599999999999</v>
      </c>
      <c r="R9" s="185">
        <f t="shared" si="8"/>
        <v>-15.24799999999999</v>
      </c>
      <c r="S9" s="186">
        <f>F9/Q9*100</f>
        <v>93.329133417331661</v>
      </c>
      <c r="T9" s="75"/>
      <c r="U9" s="75"/>
      <c r="V9" s="75"/>
      <c r="W9" s="76"/>
    </row>
    <row r="10" spans="1:34" s="81" customFormat="1" ht="56.25" x14ac:dyDescent="0.25">
      <c r="A10" s="78" t="s">
        <v>113</v>
      </c>
      <c r="B10" s="206" t="s">
        <v>157</v>
      </c>
      <c r="C10" s="67" t="s">
        <v>156</v>
      </c>
      <c r="D10" s="187">
        <v>0</v>
      </c>
      <c r="E10" s="187">
        <f>8.5+14</f>
        <v>22.5</v>
      </c>
      <c r="F10" s="168">
        <f t="shared" si="9"/>
        <v>13.062999999999999</v>
      </c>
      <c r="G10" s="187">
        <v>0</v>
      </c>
      <c r="H10" s="187">
        <v>8.5109999999999992</v>
      </c>
      <c r="I10" s="187">
        <v>0</v>
      </c>
      <c r="J10" s="187">
        <v>0</v>
      </c>
      <c r="K10" s="187">
        <v>4.5519999999999996</v>
      </c>
      <c r="L10" s="187">
        <v>0</v>
      </c>
      <c r="M10" s="188">
        <f t="shared" si="5"/>
        <v>58.057777777777773</v>
      </c>
      <c r="N10" s="117">
        <v>13</v>
      </c>
      <c r="O10" s="118">
        <f t="shared" si="6"/>
        <v>6.2999999999998835E-2</v>
      </c>
      <c r="P10" s="188">
        <f t="shared" si="7"/>
        <v>100.48461538461537</v>
      </c>
      <c r="Q10" s="168">
        <v>0</v>
      </c>
      <c r="R10" s="118">
        <f t="shared" si="8"/>
        <v>13.062999999999999</v>
      </c>
      <c r="S10" s="188"/>
    </row>
    <row r="11" spans="1:34" s="81" customFormat="1" ht="75" x14ac:dyDescent="0.25">
      <c r="A11" s="78" t="s">
        <v>114</v>
      </c>
      <c r="B11" s="206" t="s">
        <v>105</v>
      </c>
      <c r="C11" s="67" t="s">
        <v>106</v>
      </c>
      <c r="D11" s="187">
        <v>166.79</v>
      </c>
      <c r="E11" s="187">
        <v>166.79</v>
      </c>
      <c r="F11" s="168">
        <f t="shared" si="9"/>
        <v>67.532000000000011</v>
      </c>
      <c r="G11" s="187">
        <v>0</v>
      </c>
      <c r="H11" s="187">
        <v>53.468000000000004</v>
      </c>
      <c r="I11" s="187">
        <v>0</v>
      </c>
      <c r="J11" s="187">
        <v>0</v>
      </c>
      <c r="K11" s="187">
        <v>14.064</v>
      </c>
      <c r="L11" s="187">
        <v>0</v>
      </c>
      <c r="M11" s="188">
        <f t="shared" si="5"/>
        <v>40.489237963906717</v>
      </c>
      <c r="N11" s="117">
        <v>67.5</v>
      </c>
      <c r="O11" s="118">
        <f t="shared" si="6"/>
        <v>3.2000000000010687E-2</v>
      </c>
      <c r="P11" s="188">
        <f t="shared" si="7"/>
        <v>100.04740740740743</v>
      </c>
      <c r="Q11" s="168">
        <v>51.515000000000001</v>
      </c>
      <c r="R11" s="118">
        <f t="shared" si="8"/>
        <v>16.01700000000001</v>
      </c>
      <c r="S11" s="188">
        <f t="shared" ref="S11:S23" si="12">F11/Q11*100</f>
        <v>131.09191497622055</v>
      </c>
    </row>
    <row r="12" spans="1:34" s="81" customFormat="1" ht="56.25" x14ac:dyDescent="0.25">
      <c r="A12" s="78" t="s">
        <v>115</v>
      </c>
      <c r="B12" s="206" t="s">
        <v>144</v>
      </c>
      <c r="C12" s="67" t="s">
        <v>110</v>
      </c>
      <c r="D12" s="187">
        <v>82.45</v>
      </c>
      <c r="E12" s="187">
        <v>82.45</v>
      </c>
      <c r="F12" s="168">
        <f t="shared" si="9"/>
        <v>31.804000000000006</v>
      </c>
      <c r="G12" s="187">
        <v>0.54200000000000004</v>
      </c>
      <c r="H12" s="187">
        <v>16.193000000000001</v>
      </c>
      <c r="I12" s="187">
        <v>4.4999999999999998E-2</v>
      </c>
      <c r="J12" s="187">
        <v>2.8140000000000001</v>
      </c>
      <c r="K12" s="187">
        <v>12.21</v>
      </c>
      <c r="L12" s="187">
        <v>0</v>
      </c>
      <c r="M12" s="188">
        <f t="shared" si="5"/>
        <v>38.573681018799277</v>
      </c>
      <c r="N12" s="117">
        <v>31.774999999999999</v>
      </c>
      <c r="O12" s="118">
        <f t="shared" si="6"/>
        <v>2.900000000000702E-2</v>
      </c>
      <c r="P12" s="188">
        <f t="shared" si="7"/>
        <v>100.09126671911883</v>
      </c>
      <c r="Q12" s="168">
        <v>34.686999999999998</v>
      </c>
      <c r="R12" s="118">
        <f t="shared" si="8"/>
        <v>-2.882999999999992</v>
      </c>
      <c r="S12" s="188">
        <f t="shared" si="12"/>
        <v>91.688528843659029</v>
      </c>
    </row>
    <row r="13" spans="1:34" s="81" customFormat="1" ht="37.5" x14ac:dyDescent="0.25">
      <c r="A13" s="78" t="s">
        <v>158</v>
      </c>
      <c r="B13" s="206" t="s">
        <v>143</v>
      </c>
      <c r="C13" s="67" t="s">
        <v>142</v>
      </c>
      <c r="D13" s="187">
        <v>257.64</v>
      </c>
      <c r="E13" s="187">
        <f>257.64-14</f>
        <v>243.64</v>
      </c>
      <c r="F13" s="168">
        <f t="shared" si="9"/>
        <v>100.929</v>
      </c>
      <c r="G13" s="187">
        <v>0</v>
      </c>
      <c r="H13" s="187">
        <v>44.027999999999999</v>
      </c>
      <c r="I13" s="187">
        <v>1.9990000000000001</v>
      </c>
      <c r="J13" s="187">
        <v>0</v>
      </c>
      <c r="K13" s="187">
        <v>54.902000000000001</v>
      </c>
      <c r="L13" s="187">
        <v>0</v>
      </c>
      <c r="M13" s="188">
        <f t="shared" si="5"/>
        <v>41.425463799047776</v>
      </c>
      <c r="N13" s="117">
        <v>100.9</v>
      </c>
      <c r="O13" s="118">
        <f t="shared" si="6"/>
        <v>2.8999999999996362E-2</v>
      </c>
      <c r="P13" s="188">
        <f t="shared" si="7"/>
        <v>100.02874132804757</v>
      </c>
      <c r="Q13" s="168">
        <v>142.374</v>
      </c>
      <c r="R13" s="118">
        <f t="shared" si="8"/>
        <v>-41.444999999999993</v>
      </c>
      <c r="S13" s="188">
        <f t="shared" si="12"/>
        <v>70.890050149605983</v>
      </c>
    </row>
    <row r="14" spans="1:34" s="77" customFormat="1" ht="38.25" customHeight="1" x14ac:dyDescent="0.25">
      <c r="A14" s="176">
        <v>4</v>
      </c>
      <c r="B14" s="207" t="s">
        <v>94</v>
      </c>
      <c r="C14" s="97" t="s">
        <v>93</v>
      </c>
      <c r="D14" s="182">
        <f>SUM(D15:D17)</f>
        <v>247766</v>
      </c>
      <c r="E14" s="182">
        <f>SUM(E15:E17)</f>
        <v>247766</v>
      </c>
      <c r="F14" s="183">
        <f t="shared" si="9"/>
        <v>111407.33299999998</v>
      </c>
      <c r="G14" s="182">
        <f t="shared" ref="G14:N14" si="13">SUM(G15:G17)</f>
        <v>9113.7909999999993</v>
      </c>
      <c r="H14" s="182">
        <f t="shared" ref="H14:K14" si="14">SUM(H15:H17)</f>
        <v>6708.6940000000004</v>
      </c>
      <c r="I14" s="182">
        <f t="shared" si="14"/>
        <v>36301.611000000004</v>
      </c>
      <c r="J14" s="182">
        <f t="shared" si="14"/>
        <v>18813.798999999999</v>
      </c>
      <c r="K14" s="182">
        <f t="shared" si="14"/>
        <v>19997.205999999998</v>
      </c>
      <c r="L14" s="182">
        <f t="shared" si="13"/>
        <v>20472.231999999996</v>
      </c>
      <c r="M14" s="186">
        <f t="shared" si="5"/>
        <v>44.96473809965854</v>
      </c>
      <c r="N14" s="184">
        <f t="shared" si="13"/>
        <v>107053.378</v>
      </c>
      <c r="O14" s="185">
        <f t="shared" si="6"/>
        <v>4353.9549999999872</v>
      </c>
      <c r="P14" s="186">
        <f t="shared" si="7"/>
        <v>104.06708791571246</v>
      </c>
      <c r="Q14" s="183">
        <f t="shared" ref="Q14" si="15">SUM(Q15:Q17)</f>
        <v>102953.85</v>
      </c>
      <c r="R14" s="185">
        <f t="shared" si="8"/>
        <v>8453.4829999999783</v>
      </c>
      <c r="S14" s="186">
        <f t="shared" si="12"/>
        <v>108.21094402977643</v>
      </c>
    </row>
    <row r="15" spans="1:34" s="81" customFormat="1" ht="37.5" x14ac:dyDescent="0.25">
      <c r="A15" s="78" t="s">
        <v>128</v>
      </c>
      <c r="B15" s="206" t="s">
        <v>98</v>
      </c>
      <c r="C15" s="67" t="s">
        <v>91</v>
      </c>
      <c r="D15" s="187">
        <v>25500</v>
      </c>
      <c r="E15" s="187">
        <v>25500</v>
      </c>
      <c r="F15" s="168">
        <f t="shared" si="9"/>
        <v>13356.534</v>
      </c>
      <c r="G15" s="187">
        <v>0</v>
      </c>
      <c r="H15" s="187">
        <v>0</v>
      </c>
      <c r="I15" s="187">
        <v>6236.9179999999997</v>
      </c>
      <c r="J15" s="187">
        <v>2120.248</v>
      </c>
      <c r="K15" s="187">
        <v>2421.9479999999999</v>
      </c>
      <c r="L15" s="187">
        <v>2577.42</v>
      </c>
      <c r="M15" s="188">
        <f t="shared" si="5"/>
        <v>52.378564705882347</v>
      </c>
      <c r="N15" s="117">
        <v>12699.44</v>
      </c>
      <c r="O15" s="118">
        <f t="shared" si="6"/>
        <v>657.09399999999914</v>
      </c>
      <c r="P15" s="188">
        <f t="shared" ref="P15:P27" si="16">F15/N15*100</f>
        <v>105.1741966574904</v>
      </c>
      <c r="Q15" s="168">
        <v>10382.178</v>
      </c>
      <c r="R15" s="118">
        <f t="shared" si="8"/>
        <v>2974.3559999999998</v>
      </c>
      <c r="S15" s="188">
        <f t="shared" si="12"/>
        <v>128.64867082802857</v>
      </c>
      <c r="T15" s="79">
        <f>Q15+Q16</f>
        <v>46257.409</v>
      </c>
      <c r="U15" s="79">
        <f>F15+F16</f>
        <v>58717.851999999999</v>
      </c>
    </row>
    <row r="16" spans="1:34" s="81" customFormat="1" ht="37.5" x14ac:dyDescent="0.25">
      <c r="A16" s="78" t="s">
        <v>129</v>
      </c>
      <c r="B16" s="206" t="s">
        <v>99</v>
      </c>
      <c r="C16" s="67" t="s">
        <v>92</v>
      </c>
      <c r="D16" s="187">
        <v>87500</v>
      </c>
      <c r="E16" s="187">
        <v>87500</v>
      </c>
      <c r="F16" s="168">
        <f t="shared" si="9"/>
        <v>45361.317999999999</v>
      </c>
      <c r="G16" s="187">
        <v>0</v>
      </c>
      <c r="H16" s="187">
        <v>0</v>
      </c>
      <c r="I16" s="187">
        <v>21013.128000000001</v>
      </c>
      <c r="J16" s="187">
        <v>8063.9430000000002</v>
      </c>
      <c r="K16" s="187">
        <v>8167.2610000000004</v>
      </c>
      <c r="L16" s="187">
        <v>8116.9859999999999</v>
      </c>
      <c r="M16" s="188">
        <f t="shared" si="5"/>
        <v>51.841506285714289</v>
      </c>
      <c r="N16" s="117">
        <v>43925</v>
      </c>
      <c r="O16" s="118">
        <f t="shared" si="6"/>
        <v>1436.3179999999993</v>
      </c>
      <c r="P16" s="188">
        <f t="shared" si="16"/>
        <v>103.26993284006829</v>
      </c>
      <c r="Q16" s="168">
        <v>35875.231</v>
      </c>
      <c r="R16" s="118">
        <f t="shared" si="8"/>
        <v>9486.0869999999995</v>
      </c>
      <c r="S16" s="188">
        <f t="shared" si="12"/>
        <v>126.44188409546409</v>
      </c>
    </row>
    <row r="17" spans="1:22" s="81" customFormat="1" ht="37.5" x14ac:dyDescent="0.25">
      <c r="A17" s="78" t="s">
        <v>130</v>
      </c>
      <c r="B17" s="206" t="s">
        <v>100</v>
      </c>
      <c r="C17" s="67" t="s">
        <v>57</v>
      </c>
      <c r="D17" s="187">
        <v>134766</v>
      </c>
      <c r="E17" s="187">
        <v>134766</v>
      </c>
      <c r="F17" s="168">
        <f t="shared" si="9"/>
        <v>52689.481</v>
      </c>
      <c r="G17" s="187">
        <v>9113.7909999999993</v>
      </c>
      <c r="H17" s="187">
        <v>6708.6940000000004</v>
      </c>
      <c r="I17" s="187">
        <v>9051.5650000000005</v>
      </c>
      <c r="J17" s="187">
        <v>8629.6080000000002</v>
      </c>
      <c r="K17" s="187">
        <v>9407.9969999999994</v>
      </c>
      <c r="L17" s="187">
        <v>9777.8259999999991</v>
      </c>
      <c r="M17" s="188">
        <f t="shared" si="5"/>
        <v>39.097013341644029</v>
      </c>
      <c r="N17" s="117">
        <v>50428.938000000002</v>
      </c>
      <c r="O17" s="118">
        <f t="shared" si="6"/>
        <v>2260.5429999999978</v>
      </c>
      <c r="P17" s="188">
        <f t="shared" si="16"/>
        <v>104.48263058801675</v>
      </c>
      <c r="Q17" s="168">
        <v>56696.440999999999</v>
      </c>
      <c r="R17" s="118">
        <f t="shared" si="8"/>
        <v>-4006.9599999999991</v>
      </c>
      <c r="S17" s="188">
        <f t="shared" si="12"/>
        <v>92.932607533513433</v>
      </c>
    </row>
    <row r="18" spans="1:22" s="103" customFormat="1" ht="56.25" x14ac:dyDescent="0.25">
      <c r="A18" s="176">
        <v>5</v>
      </c>
      <c r="B18" s="205" t="s">
        <v>145</v>
      </c>
      <c r="C18" s="177" t="s">
        <v>37</v>
      </c>
      <c r="D18" s="182">
        <f>D19+D20+D21+D23+D22</f>
        <v>1024661.45</v>
      </c>
      <c r="E18" s="182">
        <f>E19+E20+E21+E23+E22</f>
        <v>1024440.45</v>
      </c>
      <c r="F18" s="183">
        <f t="shared" si="9"/>
        <v>461763.33399999997</v>
      </c>
      <c r="G18" s="182">
        <f t="shared" ref="G18:N18" si="17">G19+G20+G21+G23+G22</f>
        <v>75712.956999999995</v>
      </c>
      <c r="H18" s="182">
        <f t="shared" ref="H18:K18" si="18">H19+H20+H21+H23+H22</f>
        <v>111045.80699999999</v>
      </c>
      <c r="I18" s="182">
        <f t="shared" si="18"/>
        <v>44534.228999999999</v>
      </c>
      <c r="J18" s="182">
        <f t="shared" si="18"/>
        <v>86744.623999999996</v>
      </c>
      <c r="K18" s="182">
        <f t="shared" si="18"/>
        <v>95406.558000000005</v>
      </c>
      <c r="L18" s="182">
        <f t="shared" si="17"/>
        <v>48319.159</v>
      </c>
      <c r="M18" s="186">
        <f t="shared" si="5"/>
        <v>45.074687747833465</v>
      </c>
      <c r="N18" s="184">
        <f t="shared" si="17"/>
        <v>449479.82699999999</v>
      </c>
      <c r="O18" s="185">
        <f t="shared" si="6"/>
        <v>12283.506999999983</v>
      </c>
      <c r="P18" s="186">
        <f t="shared" si="16"/>
        <v>102.7328272065033</v>
      </c>
      <c r="Q18" s="183">
        <f>Q19+Q20+Q21+Q23+Q22</f>
        <v>401983.228</v>
      </c>
      <c r="R18" s="185">
        <f t="shared" si="8"/>
        <v>59780.105999999971</v>
      </c>
      <c r="S18" s="186">
        <f t="shared" si="12"/>
        <v>114.87129358541297</v>
      </c>
      <c r="T18" s="134">
        <f>Q20+Q21+Q19</f>
        <v>126350.08500000001</v>
      </c>
      <c r="U18" s="134">
        <f>F19+F20+F21</f>
        <v>164201.83799999999</v>
      </c>
    </row>
    <row r="19" spans="1:22" s="105" customFormat="1" ht="42.75" customHeight="1" x14ac:dyDescent="0.25">
      <c r="A19" s="104" t="s">
        <v>147</v>
      </c>
      <c r="B19" s="208" t="s">
        <v>58</v>
      </c>
      <c r="C19" s="224" t="s">
        <v>43</v>
      </c>
      <c r="D19" s="187">
        <f>1213.85+13965.32+18822.08+58666</f>
        <v>92667.25</v>
      </c>
      <c r="E19" s="187">
        <v>92667.25</v>
      </c>
      <c r="F19" s="168">
        <f t="shared" si="9"/>
        <v>45266.736999999994</v>
      </c>
      <c r="G19" s="187">
        <v>9723.7669999999998</v>
      </c>
      <c r="H19" s="187">
        <v>3035.268</v>
      </c>
      <c r="I19" s="187">
        <v>4604.7759999999998</v>
      </c>
      <c r="J19" s="187">
        <v>15771.471</v>
      </c>
      <c r="K19" s="187">
        <v>6016.8990000000003</v>
      </c>
      <c r="L19" s="187">
        <v>6114.5559999999996</v>
      </c>
      <c r="M19" s="188">
        <f t="shared" si="5"/>
        <v>48.848689261848165</v>
      </c>
      <c r="N19" s="117">
        <v>43181.540999999997</v>
      </c>
      <c r="O19" s="118">
        <f t="shared" si="6"/>
        <v>2085.1959999999963</v>
      </c>
      <c r="P19" s="188">
        <f t="shared" si="16"/>
        <v>104.82890594386151</v>
      </c>
      <c r="Q19" s="168">
        <v>27065.474000000006</v>
      </c>
      <c r="R19" s="118">
        <f t="shared" si="8"/>
        <v>18201.262999999988</v>
      </c>
      <c r="S19" s="188">
        <f t="shared" si="12"/>
        <v>167.24900882947767</v>
      </c>
    </row>
    <row r="20" spans="1:22" s="105" customFormat="1" ht="30.75" customHeight="1" x14ac:dyDescent="0.25">
      <c r="A20" s="78" t="s">
        <v>148</v>
      </c>
      <c r="B20" s="208" t="s">
        <v>7</v>
      </c>
      <c r="C20" s="224"/>
      <c r="D20" s="187">
        <v>300000</v>
      </c>
      <c r="E20" s="187">
        <f>299591.5-402.5</f>
        <v>299189</v>
      </c>
      <c r="F20" s="168">
        <f t="shared" si="9"/>
        <v>117997.95699999999</v>
      </c>
      <c r="G20" s="187">
        <v>15633.511</v>
      </c>
      <c r="H20" s="187">
        <v>21109.75</v>
      </c>
      <c r="I20" s="187">
        <v>19376.571</v>
      </c>
      <c r="J20" s="187">
        <v>19580.672999999999</v>
      </c>
      <c r="K20" s="187">
        <v>20458.473999999998</v>
      </c>
      <c r="L20" s="187">
        <v>21838.977999999999</v>
      </c>
      <c r="M20" s="188">
        <f t="shared" si="5"/>
        <v>39.439269826096549</v>
      </c>
      <c r="N20" s="117">
        <v>114240.78599999999</v>
      </c>
      <c r="O20" s="118">
        <f t="shared" si="6"/>
        <v>3757.1710000000021</v>
      </c>
      <c r="P20" s="188">
        <f t="shared" si="16"/>
        <v>103.2888175331707</v>
      </c>
      <c r="Q20" s="168">
        <v>98250.873000000007</v>
      </c>
      <c r="R20" s="118">
        <f t="shared" si="8"/>
        <v>19747.083999999988</v>
      </c>
      <c r="S20" s="188">
        <f t="shared" si="12"/>
        <v>120.09863464521071</v>
      </c>
    </row>
    <row r="21" spans="1:22" s="105" customFormat="1" ht="30.75" customHeight="1" x14ac:dyDescent="0.25">
      <c r="A21" s="78" t="s">
        <v>149</v>
      </c>
      <c r="B21" s="208" t="s">
        <v>59</v>
      </c>
      <c r="C21" s="224"/>
      <c r="D21" s="187">
        <f>250+225</f>
        <v>475</v>
      </c>
      <c r="E21" s="187">
        <f>865+200</f>
        <v>1065</v>
      </c>
      <c r="F21" s="168">
        <f t="shared" si="9"/>
        <v>937.14400000000012</v>
      </c>
      <c r="G21" s="187">
        <v>324.197</v>
      </c>
      <c r="H21" s="187">
        <v>49.052999999999997</v>
      </c>
      <c r="I21" s="187">
        <v>157.625</v>
      </c>
      <c r="J21" s="187">
        <v>242.58</v>
      </c>
      <c r="K21" s="187">
        <v>119.52200000000001</v>
      </c>
      <c r="L21" s="187">
        <v>44.167000000000002</v>
      </c>
      <c r="M21" s="188">
        <f t="shared" si="5"/>
        <v>87.994741784037572</v>
      </c>
      <c r="N21" s="117">
        <v>913</v>
      </c>
      <c r="O21" s="118">
        <f t="shared" si="6"/>
        <v>24.144000000000119</v>
      </c>
      <c r="P21" s="188">
        <f t="shared" si="16"/>
        <v>102.64446878422784</v>
      </c>
      <c r="Q21" s="168">
        <v>1033.7380000000001</v>
      </c>
      <c r="R21" s="118">
        <f t="shared" si="8"/>
        <v>-96.593999999999937</v>
      </c>
      <c r="S21" s="188">
        <f t="shared" si="12"/>
        <v>90.655852836985787</v>
      </c>
      <c r="T21" s="119">
        <f>100-S21</f>
        <v>9.3441471630142132</v>
      </c>
      <c r="U21" s="106"/>
      <c r="V21" s="107" t="e">
        <f>F19/#REF!*100</f>
        <v>#REF!</v>
      </c>
    </row>
    <row r="22" spans="1:22" s="109" customFormat="1" ht="30.75" customHeight="1" x14ac:dyDescent="0.25">
      <c r="A22" s="78" t="s">
        <v>150</v>
      </c>
      <c r="B22" s="208" t="s">
        <v>39</v>
      </c>
      <c r="C22" s="108" t="s">
        <v>38</v>
      </c>
      <c r="D22" s="187">
        <v>950</v>
      </c>
      <c r="E22" s="187">
        <v>950</v>
      </c>
      <c r="F22" s="168">
        <f t="shared" si="9"/>
        <v>582.48700000000008</v>
      </c>
      <c r="G22" s="187">
        <v>59.935000000000002</v>
      </c>
      <c r="H22" s="187">
        <v>134.35900000000001</v>
      </c>
      <c r="I22" s="187">
        <v>29.998000000000001</v>
      </c>
      <c r="J22" s="187">
        <v>85.495000000000005</v>
      </c>
      <c r="K22" s="187">
        <v>203.86</v>
      </c>
      <c r="L22" s="187">
        <v>68.84</v>
      </c>
      <c r="M22" s="188">
        <f t="shared" si="5"/>
        <v>61.314421052631587</v>
      </c>
      <c r="N22" s="117">
        <v>557.79999999999995</v>
      </c>
      <c r="O22" s="118">
        <f t="shared" si="6"/>
        <v>24.687000000000126</v>
      </c>
      <c r="P22" s="188">
        <f t="shared" si="16"/>
        <v>104.42577984940841</v>
      </c>
      <c r="Q22" s="168">
        <v>490.23499999999996</v>
      </c>
      <c r="R22" s="187">
        <f t="shared" si="8"/>
        <v>92.252000000000123</v>
      </c>
      <c r="S22" s="188">
        <f t="shared" si="12"/>
        <v>118.81791385763974</v>
      </c>
    </row>
    <row r="23" spans="1:22" s="105" customFormat="1" ht="30.75" customHeight="1" x14ac:dyDescent="0.25">
      <c r="A23" s="78" t="s">
        <v>151</v>
      </c>
      <c r="B23" s="208" t="s">
        <v>32</v>
      </c>
      <c r="C23" s="129" t="s">
        <v>33</v>
      </c>
      <c r="D23" s="187">
        <v>630569.19999999995</v>
      </c>
      <c r="E23" s="187">
        <v>630569.19999999995</v>
      </c>
      <c r="F23" s="168">
        <f t="shared" si="9"/>
        <v>296979.00900000002</v>
      </c>
      <c r="G23" s="187">
        <v>49971.546999999999</v>
      </c>
      <c r="H23" s="187">
        <v>86717.376999999993</v>
      </c>
      <c r="I23" s="187">
        <v>20365.258999999998</v>
      </c>
      <c r="J23" s="187">
        <v>51064.404999999999</v>
      </c>
      <c r="K23" s="187">
        <v>68607.803</v>
      </c>
      <c r="L23" s="187">
        <v>20252.617999999999</v>
      </c>
      <c r="M23" s="188">
        <f t="shared" si="5"/>
        <v>47.096973496326818</v>
      </c>
      <c r="N23" s="117">
        <v>290586.7</v>
      </c>
      <c r="O23" s="118">
        <f t="shared" si="6"/>
        <v>6392.3090000000084</v>
      </c>
      <c r="P23" s="188">
        <f t="shared" si="16"/>
        <v>102.1997940717865</v>
      </c>
      <c r="Q23" s="168">
        <v>275142.908</v>
      </c>
      <c r="R23" s="118">
        <f t="shared" si="8"/>
        <v>21836.101000000024</v>
      </c>
      <c r="S23" s="188">
        <f t="shared" si="12"/>
        <v>107.93627615508083</v>
      </c>
      <c r="U23" s="106"/>
      <c r="V23" s="107" t="e">
        <f>F23/#REF!*100</f>
        <v>#REF!</v>
      </c>
    </row>
    <row r="24" spans="1:22" s="103" customFormat="1" ht="33" customHeight="1" x14ac:dyDescent="0.25">
      <c r="A24" s="176">
        <v>6</v>
      </c>
      <c r="B24" s="205" t="s">
        <v>153</v>
      </c>
      <c r="C24" s="177" t="s">
        <v>154</v>
      </c>
      <c r="D24" s="182"/>
      <c r="E24" s="182"/>
      <c r="F24" s="183">
        <f t="shared" si="9"/>
        <v>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6"/>
      <c r="N24" s="184"/>
      <c r="O24" s="118">
        <f t="shared" si="6"/>
        <v>0</v>
      </c>
      <c r="P24" s="186"/>
      <c r="Q24" s="183">
        <v>-1.8440000000000001</v>
      </c>
      <c r="R24" s="185">
        <f t="shared" si="8"/>
        <v>1.8440000000000001</v>
      </c>
      <c r="S24" s="186"/>
      <c r="U24" s="134"/>
      <c r="V24" s="164"/>
    </row>
    <row r="25" spans="1:22" s="77" customFormat="1" ht="58.5" customHeight="1" x14ac:dyDescent="0.25">
      <c r="A25" s="176">
        <f>A24+1</f>
        <v>7</v>
      </c>
      <c r="B25" s="205" t="s">
        <v>46</v>
      </c>
      <c r="C25" s="177" t="s">
        <v>17</v>
      </c>
      <c r="D25" s="182">
        <v>450</v>
      </c>
      <c r="E25" s="182">
        <v>450</v>
      </c>
      <c r="F25" s="183">
        <f t="shared" si="9"/>
        <v>223.52699999999999</v>
      </c>
      <c r="G25" s="182">
        <v>10</v>
      </c>
      <c r="H25" s="182">
        <v>63.488</v>
      </c>
      <c r="I25" s="182">
        <v>19.899000000000001</v>
      </c>
      <c r="J25" s="182">
        <v>46.183</v>
      </c>
      <c r="K25" s="182">
        <v>83.956999999999994</v>
      </c>
      <c r="L25" s="182">
        <v>0</v>
      </c>
      <c r="M25" s="186">
        <f t="shared" ref="M25:M42" si="19">F25/E25*100</f>
        <v>49.672666666666665</v>
      </c>
      <c r="N25" s="184">
        <v>217</v>
      </c>
      <c r="O25" s="185">
        <f t="shared" si="6"/>
        <v>6.5269999999999868</v>
      </c>
      <c r="P25" s="186">
        <f t="shared" si="16"/>
        <v>103.00783410138249</v>
      </c>
      <c r="Q25" s="183">
        <v>242.37399999999997</v>
      </c>
      <c r="R25" s="185">
        <f t="shared" si="8"/>
        <v>-18.84699999999998</v>
      </c>
      <c r="S25" s="186">
        <f>F25/Q25*100</f>
        <v>92.224000924191543</v>
      </c>
      <c r="T25" s="76">
        <f>100-S25</f>
        <v>7.775999075808457</v>
      </c>
    </row>
    <row r="26" spans="1:22" s="77" customFormat="1" ht="52.5" customHeight="1" x14ac:dyDescent="0.25">
      <c r="A26" s="176">
        <f t="shared" ref="A26:A33" si="20">A25+1</f>
        <v>8</v>
      </c>
      <c r="B26" s="205" t="s">
        <v>74</v>
      </c>
      <c r="C26" s="177" t="s">
        <v>73</v>
      </c>
      <c r="D26" s="182">
        <v>12000</v>
      </c>
      <c r="E26" s="182">
        <v>12000</v>
      </c>
      <c r="F26" s="183">
        <f t="shared" si="9"/>
        <v>7773.2940000000017</v>
      </c>
      <c r="G26" s="182">
        <v>432.791</v>
      </c>
      <c r="H26" s="182">
        <v>1371.3440000000001</v>
      </c>
      <c r="I26" s="182">
        <v>1459.3430000000001</v>
      </c>
      <c r="J26" s="182">
        <v>1608.9</v>
      </c>
      <c r="K26" s="182">
        <v>1657.4580000000001</v>
      </c>
      <c r="L26" s="182">
        <v>1243.4580000000001</v>
      </c>
      <c r="M26" s="186">
        <f t="shared" si="19"/>
        <v>64.777450000000016</v>
      </c>
      <c r="N26" s="184">
        <v>7800</v>
      </c>
      <c r="O26" s="185">
        <f t="shared" si="6"/>
        <v>-26.705999999998312</v>
      </c>
      <c r="P26" s="186">
        <f t="shared" si="16"/>
        <v>99.657615384615411</v>
      </c>
      <c r="Q26" s="183">
        <v>16348.281999999999</v>
      </c>
      <c r="R26" s="185">
        <f t="shared" si="8"/>
        <v>-8574.9879999999976</v>
      </c>
      <c r="S26" s="186">
        <f>F26/Q26*100</f>
        <v>47.548078752250554</v>
      </c>
    </row>
    <row r="27" spans="1:22" s="77" customFormat="1" ht="33" customHeight="1" x14ac:dyDescent="0.25">
      <c r="A27" s="176">
        <f t="shared" si="20"/>
        <v>9</v>
      </c>
      <c r="B27" s="205" t="s">
        <v>8</v>
      </c>
      <c r="C27" s="177" t="s">
        <v>18</v>
      </c>
      <c r="D27" s="182">
        <v>5.5</v>
      </c>
      <c r="E27" s="182">
        <f>5.5+2.5</f>
        <v>8</v>
      </c>
      <c r="F27" s="203">
        <f t="shared" si="9"/>
        <v>6.0410000000000004</v>
      </c>
      <c r="G27" s="182">
        <v>0</v>
      </c>
      <c r="H27" s="182">
        <v>0.38100000000000001</v>
      </c>
      <c r="I27" s="182">
        <v>0</v>
      </c>
      <c r="J27" s="182">
        <v>0</v>
      </c>
      <c r="K27" s="182">
        <v>5.66</v>
      </c>
      <c r="L27" s="182">
        <v>0</v>
      </c>
      <c r="M27" s="186">
        <f t="shared" si="19"/>
        <v>75.512500000000003</v>
      </c>
      <c r="N27" s="184">
        <v>6</v>
      </c>
      <c r="O27" s="185">
        <f t="shared" si="6"/>
        <v>4.1000000000000369E-2</v>
      </c>
      <c r="P27" s="186">
        <f t="shared" si="16"/>
        <v>100.68333333333335</v>
      </c>
      <c r="Q27" s="183">
        <v>5.4390000000000001</v>
      </c>
      <c r="R27" s="185">
        <f t="shared" si="8"/>
        <v>0.60200000000000031</v>
      </c>
      <c r="S27" s="186">
        <f>F27/Q27*100</f>
        <v>111.06821106821107</v>
      </c>
    </row>
    <row r="28" spans="1:22" s="77" customFormat="1" ht="93.75" x14ac:dyDescent="0.25">
      <c r="A28" s="176">
        <f t="shared" si="20"/>
        <v>10</v>
      </c>
      <c r="B28" s="209" t="s">
        <v>96</v>
      </c>
      <c r="C28" s="98" t="s">
        <v>97</v>
      </c>
      <c r="D28" s="182">
        <v>4.5</v>
      </c>
      <c r="E28" s="182">
        <v>4.5</v>
      </c>
      <c r="F28" s="183">
        <f t="shared" si="9"/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6">
        <f t="shared" si="19"/>
        <v>0</v>
      </c>
      <c r="N28" s="184">
        <v>0</v>
      </c>
      <c r="O28" s="185">
        <f t="shared" si="6"/>
        <v>0</v>
      </c>
      <c r="P28" s="186"/>
      <c r="Q28" s="183">
        <v>4.4080000000000004</v>
      </c>
      <c r="R28" s="185">
        <f t="shared" si="8"/>
        <v>-4.4080000000000004</v>
      </c>
      <c r="S28" s="186"/>
    </row>
    <row r="29" spans="1:22" s="77" customFormat="1" ht="38.25" customHeight="1" x14ac:dyDescent="0.25">
      <c r="A29" s="176">
        <f t="shared" si="20"/>
        <v>11</v>
      </c>
      <c r="B29" s="210" t="s">
        <v>29</v>
      </c>
      <c r="C29" s="177" t="s">
        <v>24</v>
      </c>
      <c r="D29" s="182">
        <v>8804.73</v>
      </c>
      <c r="E29" s="182">
        <v>8804.73</v>
      </c>
      <c r="F29" s="183">
        <f t="shared" si="9"/>
        <v>5425.1219999999994</v>
      </c>
      <c r="G29" s="182">
        <v>497.94799999999998</v>
      </c>
      <c r="H29" s="182">
        <v>694.71400000000006</v>
      </c>
      <c r="I29" s="182">
        <v>893.96699999999998</v>
      </c>
      <c r="J29" s="182">
        <v>1137.1980000000001</v>
      </c>
      <c r="K29" s="182">
        <v>904.77499999999998</v>
      </c>
      <c r="L29" s="182">
        <v>1296.52</v>
      </c>
      <c r="M29" s="186">
        <f t="shared" si="19"/>
        <v>61.61599503903016</v>
      </c>
      <c r="N29" s="184">
        <v>5275</v>
      </c>
      <c r="O29" s="185">
        <f t="shared" si="6"/>
        <v>150.12199999999939</v>
      </c>
      <c r="P29" s="186">
        <f t="shared" ref="P29:P39" si="21">F29/N29*100</f>
        <v>102.84591469194311</v>
      </c>
      <c r="Q29" s="183">
        <v>1481.3780000000002</v>
      </c>
      <c r="R29" s="185">
        <f t="shared" si="8"/>
        <v>3943.7439999999992</v>
      </c>
      <c r="S29" s="186">
        <f>F29/Q29*100</f>
        <v>366.22131555889172</v>
      </c>
      <c r="T29" s="76">
        <f>100-S29</f>
        <v>-266.22131555889172</v>
      </c>
    </row>
    <row r="30" spans="1:22" s="77" customFormat="1" ht="56.25" x14ac:dyDescent="0.25">
      <c r="A30" s="176">
        <f t="shared" si="20"/>
        <v>12</v>
      </c>
      <c r="B30" s="210" t="s">
        <v>85</v>
      </c>
      <c r="C30" s="177" t="s">
        <v>84</v>
      </c>
      <c r="D30" s="182">
        <v>410</v>
      </c>
      <c r="E30" s="182">
        <v>410</v>
      </c>
      <c r="F30" s="183">
        <f t="shared" si="9"/>
        <v>195.51999999999998</v>
      </c>
      <c r="G30" s="182">
        <v>14.6</v>
      </c>
      <c r="H30" s="182">
        <v>13.6</v>
      </c>
      <c r="I30" s="182">
        <v>25.3</v>
      </c>
      <c r="J30" s="182">
        <v>43.42</v>
      </c>
      <c r="K30" s="182">
        <v>27.8</v>
      </c>
      <c r="L30" s="182">
        <v>70.8</v>
      </c>
      <c r="M30" s="186">
        <f t="shared" si="19"/>
        <v>47.68780487804878</v>
      </c>
      <c r="N30" s="184">
        <v>186.5</v>
      </c>
      <c r="O30" s="185">
        <f t="shared" si="6"/>
        <v>9.0199999999999818</v>
      </c>
      <c r="P30" s="186">
        <f t="shared" si="21"/>
        <v>104.83646112600536</v>
      </c>
      <c r="Q30" s="183">
        <v>172.255</v>
      </c>
      <c r="R30" s="185">
        <f t="shared" si="8"/>
        <v>23.264999999999986</v>
      </c>
      <c r="S30" s="186">
        <f>F30/Q30*100</f>
        <v>113.50613915416096</v>
      </c>
    </row>
    <row r="31" spans="1:22" s="77" customFormat="1" ht="34.5" customHeight="1" x14ac:dyDescent="0.25">
      <c r="A31" s="176">
        <f t="shared" si="20"/>
        <v>13</v>
      </c>
      <c r="B31" s="210" t="s">
        <v>116</v>
      </c>
      <c r="C31" s="177" t="s">
        <v>117</v>
      </c>
      <c r="D31" s="182">
        <v>15000</v>
      </c>
      <c r="E31" s="182">
        <v>15000</v>
      </c>
      <c r="F31" s="203">
        <f t="shared" si="9"/>
        <v>8616.5499999999993</v>
      </c>
      <c r="G31" s="182">
        <v>1342.5129999999999</v>
      </c>
      <c r="H31" s="182">
        <v>1648.6130000000001</v>
      </c>
      <c r="I31" s="182">
        <v>1521.1489999999999</v>
      </c>
      <c r="J31" s="182">
        <v>1266.5989999999999</v>
      </c>
      <c r="K31" s="182">
        <v>1452.096</v>
      </c>
      <c r="L31" s="182">
        <v>1385.58</v>
      </c>
      <c r="M31" s="186">
        <f t="shared" si="19"/>
        <v>57.443666666666658</v>
      </c>
      <c r="N31" s="184">
        <v>8307</v>
      </c>
      <c r="O31" s="185">
        <f t="shared" si="6"/>
        <v>309.54999999999927</v>
      </c>
      <c r="P31" s="186">
        <f t="shared" si="21"/>
        <v>103.72637534609366</v>
      </c>
      <c r="Q31" s="183">
        <v>6567.9619999999995</v>
      </c>
      <c r="R31" s="185">
        <f t="shared" si="8"/>
        <v>2048.5879999999997</v>
      </c>
      <c r="S31" s="186">
        <f>F31/Q31*100</f>
        <v>131.19061894694275</v>
      </c>
    </row>
    <row r="32" spans="1:22" s="178" customFormat="1" ht="93.75" x14ac:dyDescent="0.25">
      <c r="A32" s="176">
        <f t="shared" si="20"/>
        <v>14</v>
      </c>
      <c r="B32" s="210" t="s">
        <v>167</v>
      </c>
      <c r="C32" s="177" t="s">
        <v>166</v>
      </c>
      <c r="D32" s="182">
        <v>0</v>
      </c>
      <c r="E32" s="182">
        <v>10</v>
      </c>
      <c r="F32" s="203">
        <f t="shared" si="9"/>
        <v>8.1999999999999993</v>
      </c>
      <c r="G32" s="182">
        <v>0</v>
      </c>
      <c r="H32" s="182">
        <v>0</v>
      </c>
      <c r="I32" s="182">
        <v>3.3180000000000001</v>
      </c>
      <c r="J32" s="182">
        <v>1.0720000000000001</v>
      </c>
      <c r="K32" s="182">
        <v>2.61</v>
      </c>
      <c r="L32" s="182">
        <v>1.2</v>
      </c>
      <c r="M32" s="186">
        <f t="shared" si="19"/>
        <v>82</v>
      </c>
      <c r="N32" s="184">
        <v>7</v>
      </c>
      <c r="O32" s="185">
        <f t="shared" si="6"/>
        <v>1.1999999999999993</v>
      </c>
      <c r="P32" s="186">
        <f t="shared" si="21"/>
        <v>117.14285714285712</v>
      </c>
      <c r="Q32" s="183">
        <v>0</v>
      </c>
      <c r="R32" s="185">
        <f t="shared" si="8"/>
        <v>8.1999999999999993</v>
      </c>
      <c r="S32" s="186"/>
    </row>
    <row r="33" spans="1:26" s="77" customFormat="1" ht="38.25" customHeight="1" x14ac:dyDescent="0.25">
      <c r="A33" s="176">
        <f t="shared" si="20"/>
        <v>15</v>
      </c>
      <c r="B33" s="210" t="s">
        <v>87</v>
      </c>
      <c r="C33" s="177" t="s">
        <v>86</v>
      </c>
      <c r="D33" s="182">
        <f>SUM(D34:D37)</f>
        <v>27762.799999999999</v>
      </c>
      <c r="E33" s="182">
        <f>SUM(E34:E37)</f>
        <v>27762.799999999999</v>
      </c>
      <c r="F33" s="183">
        <f t="shared" si="9"/>
        <v>15341.731</v>
      </c>
      <c r="G33" s="182">
        <f t="shared" ref="G33:N33" si="22">SUM(G34:G37)</f>
        <v>2016.3869999999997</v>
      </c>
      <c r="H33" s="182">
        <f t="shared" ref="H33:K33" si="23">SUM(H34:H37)</f>
        <v>2147.1390000000001</v>
      </c>
      <c r="I33" s="182">
        <f t="shared" si="23"/>
        <v>2556.277</v>
      </c>
      <c r="J33" s="182">
        <f t="shared" si="23"/>
        <v>2848.3900000000003</v>
      </c>
      <c r="K33" s="182">
        <f t="shared" si="23"/>
        <v>2767.8540000000003</v>
      </c>
      <c r="L33" s="182">
        <f t="shared" si="22"/>
        <v>3005.6840000000002</v>
      </c>
      <c r="M33" s="186">
        <f t="shared" si="19"/>
        <v>55.260027806993527</v>
      </c>
      <c r="N33" s="184">
        <f t="shared" si="22"/>
        <v>14861.599999999999</v>
      </c>
      <c r="O33" s="185">
        <f t="shared" si="6"/>
        <v>480.13100000000122</v>
      </c>
      <c r="P33" s="186">
        <f t="shared" si="21"/>
        <v>103.23068175701138</v>
      </c>
      <c r="Q33" s="183">
        <f t="shared" ref="Q33" si="24">SUM(Q34:Q37)</f>
        <v>11475.717999999999</v>
      </c>
      <c r="R33" s="185">
        <f t="shared" si="8"/>
        <v>3866.0130000000008</v>
      </c>
      <c r="S33" s="186">
        <f t="shared" ref="S33:S39" si="25">F33/Q33*100</f>
        <v>133.6886371728549</v>
      </c>
    </row>
    <row r="34" spans="1:26" s="81" customFormat="1" ht="56.25" x14ac:dyDescent="0.25">
      <c r="A34" s="78" t="s">
        <v>168</v>
      </c>
      <c r="B34" s="211" t="s">
        <v>79</v>
      </c>
      <c r="C34" s="129" t="s">
        <v>78</v>
      </c>
      <c r="D34" s="187">
        <v>1300</v>
      </c>
      <c r="E34" s="187">
        <v>1300</v>
      </c>
      <c r="F34" s="168">
        <f t="shared" si="9"/>
        <v>759.3889999999999</v>
      </c>
      <c r="G34" s="187">
        <v>91.153999999999996</v>
      </c>
      <c r="H34" s="187">
        <v>123.64400000000001</v>
      </c>
      <c r="I34" s="187">
        <v>141.91800000000001</v>
      </c>
      <c r="J34" s="187">
        <v>141.23099999999999</v>
      </c>
      <c r="K34" s="187">
        <v>108.44</v>
      </c>
      <c r="L34" s="187">
        <v>153.00200000000001</v>
      </c>
      <c r="M34" s="188">
        <f t="shared" si="19"/>
        <v>58.414538461538456</v>
      </c>
      <c r="N34" s="117">
        <v>741</v>
      </c>
      <c r="O34" s="118">
        <f t="shared" si="6"/>
        <v>18.388999999999896</v>
      </c>
      <c r="P34" s="188">
        <f t="shared" si="21"/>
        <v>102.48164642375168</v>
      </c>
      <c r="Q34" s="168">
        <v>595.92599999999993</v>
      </c>
      <c r="R34" s="118">
        <f t="shared" si="8"/>
        <v>163.46299999999997</v>
      </c>
      <c r="S34" s="188">
        <f t="shared" si="25"/>
        <v>127.43008360098402</v>
      </c>
      <c r="T34" s="119">
        <f>S34-100</f>
        <v>27.43008360098402</v>
      </c>
      <c r="U34" s="79"/>
    </row>
    <row r="35" spans="1:26" s="81" customFormat="1" ht="44.25" customHeight="1" x14ac:dyDescent="0.25">
      <c r="A35" s="78" t="s">
        <v>169</v>
      </c>
      <c r="B35" s="212" t="s">
        <v>60</v>
      </c>
      <c r="C35" s="67" t="s">
        <v>61</v>
      </c>
      <c r="D35" s="187">
        <v>24922.799999999999</v>
      </c>
      <c r="E35" s="187">
        <v>24922.799999999999</v>
      </c>
      <c r="F35" s="168">
        <f t="shared" si="9"/>
        <v>13891.822</v>
      </c>
      <c r="G35" s="187">
        <v>1816.0039999999999</v>
      </c>
      <c r="H35" s="187">
        <v>1889.204</v>
      </c>
      <c r="I35" s="187">
        <v>2281.4290000000001</v>
      </c>
      <c r="J35" s="187">
        <v>2605.2289999999998</v>
      </c>
      <c r="K35" s="187">
        <v>2552.5940000000001</v>
      </c>
      <c r="L35" s="187">
        <v>2747.3620000000001</v>
      </c>
      <c r="M35" s="188">
        <f t="shared" si="19"/>
        <v>55.739411302100891</v>
      </c>
      <c r="N35" s="117">
        <v>13434.4</v>
      </c>
      <c r="O35" s="118">
        <f t="shared" si="6"/>
        <v>457.42200000000048</v>
      </c>
      <c r="P35" s="188">
        <f t="shared" si="21"/>
        <v>103.4048561900792</v>
      </c>
      <c r="Q35" s="168">
        <v>10256.574999999999</v>
      </c>
      <c r="R35" s="118">
        <f t="shared" si="8"/>
        <v>3635.2470000000012</v>
      </c>
      <c r="S35" s="188">
        <f t="shared" si="25"/>
        <v>135.44308894538383</v>
      </c>
      <c r="T35" s="119">
        <f>S35-100</f>
        <v>35.443088945383835</v>
      </c>
      <c r="U35" s="80"/>
    </row>
    <row r="36" spans="1:26" s="81" customFormat="1" ht="47.25" customHeight="1" x14ac:dyDescent="0.25">
      <c r="A36" s="78" t="s">
        <v>170</v>
      </c>
      <c r="B36" s="212" t="s">
        <v>83</v>
      </c>
      <c r="C36" s="67" t="s">
        <v>80</v>
      </c>
      <c r="D36" s="187">
        <v>1400</v>
      </c>
      <c r="E36" s="187">
        <v>1400</v>
      </c>
      <c r="F36" s="168">
        <f t="shared" si="9"/>
        <v>655.72</v>
      </c>
      <c r="G36" s="187">
        <v>106.899</v>
      </c>
      <c r="H36" s="187">
        <v>124.081</v>
      </c>
      <c r="I36" s="187">
        <v>126.35</v>
      </c>
      <c r="J36" s="187">
        <v>100.11</v>
      </c>
      <c r="K36" s="187">
        <v>101.36</v>
      </c>
      <c r="L36" s="187">
        <v>96.92</v>
      </c>
      <c r="M36" s="188">
        <f t="shared" si="19"/>
        <v>46.837142857142858</v>
      </c>
      <c r="N36" s="117">
        <v>652.79999999999995</v>
      </c>
      <c r="O36" s="118">
        <f t="shared" si="6"/>
        <v>2.9200000000000728</v>
      </c>
      <c r="P36" s="188">
        <f t="shared" si="21"/>
        <v>100.44730392156865</v>
      </c>
      <c r="Q36" s="168">
        <v>547.803</v>
      </c>
      <c r="R36" s="118">
        <f t="shared" si="8"/>
        <v>107.91700000000003</v>
      </c>
      <c r="S36" s="188">
        <f t="shared" si="25"/>
        <v>119.69996513345127</v>
      </c>
    </row>
    <row r="37" spans="1:26" s="81" customFormat="1" ht="112.5" x14ac:dyDescent="0.25">
      <c r="A37" s="78" t="s">
        <v>171</v>
      </c>
      <c r="B37" s="213" t="s">
        <v>82</v>
      </c>
      <c r="C37" s="67" t="s">
        <v>81</v>
      </c>
      <c r="D37" s="187">
        <v>140</v>
      </c>
      <c r="E37" s="187">
        <v>140</v>
      </c>
      <c r="F37" s="168">
        <f t="shared" si="9"/>
        <v>34.800000000000004</v>
      </c>
      <c r="G37" s="187">
        <v>2.33</v>
      </c>
      <c r="H37" s="187">
        <v>10.210000000000001</v>
      </c>
      <c r="I37" s="187">
        <v>6.58</v>
      </c>
      <c r="J37" s="187">
        <v>1.82</v>
      </c>
      <c r="K37" s="187">
        <v>5.46</v>
      </c>
      <c r="L37" s="187">
        <v>8.4</v>
      </c>
      <c r="M37" s="188">
        <f t="shared" si="19"/>
        <v>24.857142857142861</v>
      </c>
      <c r="N37" s="117">
        <v>33.4</v>
      </c>
      <c r="O37" s="118">
        <f t="shared" si="6"/>
        <v>1.4000000000000057</v>
      </c>
      <c r="P37" s="188">
        <f t="shared" si="21"/>
        <v>104.19161676646709</v>
      </c>
      <c r="Q37" s="168">
        <v>75.414000000000001</v>
      </c>
      <c r="R37" s="118">
        <f t="shared" si="8"/>
        <v>-40.613999999999997</v>
      </c>
      <c r="S37" s="188">
        <f t="shared" si="25"/>
        <v>46.14527806508076</v>
      </c>
    </row>
    <row r="38" spans="1:26" s="77" customFormat="1" ht="56.25" x14ac:dyDescent="0.25">
      <c r="A38" s="176">
        <v>16</v>
      </c>
      <c r="B38" s="209" t="s">
        <v>34</v>
      </c>
      <c r="C38" s="177" t="s">
        <v>19</v>
      </c>
      <c r="D38" s="182">
        <v>12000</v>
      </c>
      <c r="E38" s="182">
        <v>12000</v>
      </c>
      <c r="F38" s="183">
        <f t="shared" si="9"/>
        <v>5769.6440000000002</v>
      </c>
      <c r="G38" s="182">
        <v>886.822</v>
      </c>
      <c r="H38" s="182">
        <v>956.88</v>
      </c>
      <c r="I38" s="182">
        <v>1008.902</v>
      </c>
      <c r="J38" s="182">
        <v>874.19399999999996</v>
      </c>
      <c r="K38" s="182">
        <v>1016.393</v>
      </c>
      <c r="L38" s="182">
        <v>1026.453</v>
      </c>
      <c r="M38" s="186">
        <f t="shared" si="19"/>
        <v>48.08036666666667</v>
      </c>
      <c r="N38" s="184">
        <v>5763.5</v>
      </c>
      <c r="O38" s="185">
        <f t="shared" si="6"/>
        <v>6.1440000000002328</v>
      </c>
      <c r="P38" s="186">
        <f t="shared" si="21"/>
        <v>100.10660189121194</v>
      </c>
      <c r="Q38" s="183">
        <v>5916.7249999999995</v>
      </c>
      <c r="R38" s="185">
        <f t="shared" si="8"/>
        <v>-147.08099999999922</v>
      </c>
      <c r="S38" s="186">
        <f t="shared" si="25"/>
        <v>97.514148452057526</v>
      </c>
    </row>
    <row r="39" spans="1:26" s="77" customFormat="1" ht="36" customHeight="1" x14ac:dyDescent="0.25">
      <c r="A39" s="176">
        <f t="shared" ref="A39:A46" si="26">A38+1</f>
        <v>17</v>
      </c>
      <c r="B39" s="205" t="s">
        <v>54</v>
      </c>
      <c r="C39" s="177" t="s">
        <v>15</v>
      </c>
      <c r="D39" s="182">
        <v>600.5</v>
      </c>
      <c r="E39" s="182">
        <v>600.5</v>
      </c>
      <c r="F39" s="203">
        <f t="shared" si="9"/>
        <v>253.93799999999999</v>
      </c>
      <c r="G39" s="182">
        <v>33.802</v>
      </c>
      <c r="H39" s="182">
        <v>36.165999999999997</v>
      </c>
      <c r="I39" s="182">
        <v>43.429000000000002</v>
      </c>
      <c r="J39" s="182">
        <v>38.436999999999998</v>
      </c>
      <c r="K39" s="182">
        <v>36.195</v>
      </c>
      <c r="L39" s="182">
        <v>65.909000000000006</v>
      </c>
      <c r="M39" s="186">
        <f t="shared" si="19"/>
        <v>42.287760199833471</v>
      </c>
      <c r="N39" s="184">
        <v>250.95500000000001</v>
      </c>
      <c r="O39" s="185">
        <f t="shared" si="6"/>
        <v>2.9829999999999757</v>
      </c>
      <c r="P39" s="186">
        <f t="shared" si="21"/>
        <v>101.18865932139227</v>
      </c>
      <c r="Q39" s="183">
        <v>253.49600000000001</v>
      </c>
      <c r="R39" s="185">
        <f t="shared" ref="R39:R66" si="27">F39-Q39</f>
        <v>0.44199999999997885</v>
      </c>
      <c r="S39" s="186">
        <f t="shared" si="25"/>
        <v>100.17436172562878</v>
      </c>
      <c r="T39" s="76">
        <f>100-S39</f>
        <v>-0.17436172562878482</v>
      </c>
    </row>
    <row r="40" spans="1:26" s="77" customFormat="1" ht="102" customHeight="1" x14ac:dyDescent="0.25">
      <c r="A40" s="176">
        <f t="shared" si="26"/>
        <v>18</v>
      </c>
      <c r="B40" s="205" t="s">
        <v>102</v>
      </c>
      <c r="C40" s="177" t="s">
        <v>101</v>
      </c>
      <c r="D40" s="182">
        <v>2.5499999999999998</v>
      </c>
      <c r="E40" s="182">
        <v>2.5499999999999998</v>
      </c>
      <c r="F40" s="183">
        <f t="shared" si="9"/>
        <v>0</v>
      </c>
      <c r="G40" s="182">
        <v>0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6">
        <f t="shared" si="19"/>
        <v>0</v>
      </c>
      <c r="N40" s="184">
        <v>0</v>
      </c>
      <c r="O40" s="185">
        <f t="shared" si="6"/>
        <v>0</v>
      </c>
      <c r="P40" s="186"/>
      <c r="Q40" s="183">
        <v>0</v>
      </c>
      <c r="R40" s="185">
        <f t="shared" si="27"/>
        <v>0</v>
      </c>
      <c r="S40" s="186"/>
    </row>
    <row r="41" spans="1:26" s="77" customFormat="1" ht="37.5" x14ac:dyDescent="0.25">
      <c r="A41" s="176">
        <f t="shared" si="26"/>
        <v>19</v>
      </c>
      <c r="B41" s="207" t="s">
        <v>62</v>
      </c>
      <c r="C41" s="32" t="s">
        <v>63</v>
      </c>
      <c r="D41" s="182">
        <v>70</v>
      </c>
      <c r="E41" s="182">
        <f>70+200</f>
        <v>270</v>
      </c>
      <c r="F41" s="183">
        <f t="shared" si="9"/>
        <v>230.22200000000001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230.22200000000001</v>
      </c>
      <c r="M41" s="186">
        <f t="shared" si="19"/>
        <v>85.267407407407418</v>
      </c>
      <c r="N41" s="184">
        <v>230</v>
      </c>
      <c r="O41" s="185">
        <f t="shared" si="6"/>
        <v>0.22200000000000841</v>
      </c>
      <c r="P41" s="186">
        <f>F41/N41*100</f>
        <v>100.09652173913044</v>
      </c>
      <c r="Q41" s="183">
        <v>0</v>
      </c>
      <c r="R41" s="185">
        <f t="shared" si="27"/>
        <v>230.22200000000001</v>
      </c>
      <c r="S41" s="186"/>
    </row>
    <row r="42" spans="1:26" s="77" customFormat="1" ht="36.75" customHeight="1" x14ac:dyDescent="0.25">
      <c r="A42" s="176">
        <f t="shared" si="26"/>
        <v>20</v>
      </c>
      <c r="B42" s="205" t="s">
        <v>8</v>
      </c>
      <c r="C42" s="177" t="s">
        <v>20</v>
      </c>
      <c r="D42" s="182">
        <v>1400</v>
      </c>
      <c r="E42" s="182">
        <v>1400</v>
      </c>
      <c r="F42" s="183">
        <f t="shared" si="9"/>
        <v>848.5920000000001</v>
      </c>
      <c r="G42" s="182">
        <v>161.375</v>
      </c>
      <c r="H42" s="182">
        <v>156.322</v>
      </c>
      <c r="I42" s="182">
        <v>144.40100000000001</v>
      </c>
      <c r="J42" s="182">
        <v>126.51600000000001</v>
      </c>
      <c r="K42" s="182">
        <v>134.447</v>
      </c>
      <c r="L42" s="182">
        <v>125.53100000000001</v>
      </c>
      <c r="M42" s="186">
        <f t="shared" si="19"/>
        <v>60.613714285714295</v>
      </c>
      <c r="N42" s="184">
        <v>831</v>
      </c>
      <c r="O42" s="185">
        <f t="shared" ref="O42:O64" si="28">F42-N42</f>
        <v>17.592000000000098</v>
      </c>
      <c r="P42" s="186">
        <f>F42/N42*100</f>
        <v>102.11696750902529</v>
      </c>
      <c r="Q42" s="183">
        <v>944.97100000000012</v>
      </c>
      <c r="R42" s="185">
        <f t="shared" si="27"/>
        <v>-96.379000000000019</v>
      </c>
      <c r="S42" s="186">
        <f>F42/Q42*100</f>
        <v>89.800851031407319</v>
      </c>
      <c r="W42" s="77">
        <v>246438.04</v>
      </c>
    </row>
    <row r="43" spans="1:26" s="77" customFormat="1" ht="75" x14ac:dyDescent="0.25">
      <c r="A43" s="176">
        <f t="shared" si="26"/>
        <v>21</v>
      </c>
      <c r="B43" s="205" t="s">
        <v>164</v>
      </c>
      <c r="C43" s="177" t="s">
        <v>163</v>
      </c>
      <c r="D43" s="182">
        <v>0</v>
      </c>
      <c r="E43" s="182">
        <v>0</v>
      </c>
      <c r="F43" s="183">
        <f t="shared" si="9"/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6"/>
      <c r="N43" s="184">
        <v>0</v>
      </c>
      <c r="O43" s="185">
        <f t="shared" si="28"/>
        <v>0</v>
      </c>
      <c r="P43" s="186"/>
      <c r="Q43" s="183">
        <v>87.876999999999995</v>
      </c>
      <c r="R43" s="185">
        <f t="shared" si="27"/>
        <v>-87.876999999999995</v>
      </c>
      <c r="S43" s="186"/>
    </row>
    <row r="44" spans="1:26" s="77" customFormat="1" ht="168.75" x14ac:dyDescent="0.25">
      <c r="A44" s="176">
        <f t="shared" si="26"/>
        <v>22</v>
      </c>
      <c r="B44" s="205" t="s">
        <v>53</v>
      </c>
      <c r="C44" s="177" t="s">
        <v>47</v>
      </c>
      <c r="D44" s="182">
        <v>1000</v>
      </c>
      <c r="E44" s="182">
        <v>1000</v>
      </c>
      <c r="F44" s="183">
        <f t="shared" si="9"/>
        <v>794.42499999999995</v>
      </c>
      <c r="G44" s="182">
        <v>2.294</v>
      </c>
      <c r="H44" s="182">
        <v>266.43799999999999</v>
      </c>
      <c r="I44" s="182">
        <v>61.570999999999998</v>
      </c>
      <c r="J44" s="182">
        <v>32.951000000000001</v>
      </c>
      <c r="K44" s="182">
        <v>52.198</v>
      </c>
      <c r="L44" s="182">
        <v>378.97300000000001</v>
      </c>
      <c r="M44" s="186">
        <f>F44/E44*100</f>
        <v>79.442499999999995</v>
      </c>
      <c r="N44" s="184">
        <v>794.3</v>
      </c>
      <c r="O44" s="185">
        <f t="shared" si="28"/>
        <v>0.125</v>
      </c>
      <c r="P44" s="186">
        <f>F44/N44*100</f>
        <v>100.01573712703009</v>
      </c>
      <c r="Q44" s="183">
        <v>780.70100000000002</v>
      </c>
      <c r="R44" s="185">
        <f t="shared" si="27"/>
        <v>13.723999999999933</v>
      </c>
      <c r="S44" s="186">
        <f>F44/Q44*100</f>
        <v>101.75790731662953</v>
      </c>
      <c r="V44" s="77">
        <v>308493.50900000002</v>
      </c>
    </row>
    <row r="45" spans="1:26" s="77" customFormat="1" ht="75" x14ac:dyDescent="0.25">
      <c r="A45" s="176">
        <f t="shared" si="26"/>
        <v>23</v>
      </c>
      <c r="B45" s="205" t="s">
        <v>132</v>
      </c>
      <c r="C45" s="177" t="s">
        <v>131</v>
      </c>
      <c r="D45" s="182">
        <v>15</v>
      </c>
      <c r="E45" s="182">
        <v>15</v>
      </c>
      <c r="F45" s="183">
        <f t="shared" si="9"/>
        <v>0</v>
      </c>
      <c r="G45" s="182">
        <v>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6">
        <f>F45/E45*100</f>
        <v>0</v>
      </c>
      <c r="N45" s="184">
        <v>0</v>
      </c>
      <c r="O45" s="185">
        <f t="shared" si="28"/>
        <v>0</v>
      </c>
      <c r="P45" s="186"/>
      <c r="Q45" s="183">
        <v>35.991</v>
      </c>
      <c r="R45" s="185">
        <f t="shared" si="27"/>
        <v>-35.991</v>
      </c>
      <c r="S45" s="186">
        <f>F45/Q45*100</f>
        <v>0</v>
      </c>
      <c r="U45" s="75">
        <f>F47-F42</f>
        <v>1732071.5540000002</v>
      </c>
      <c r="V45" s="75">
        <f>Q47-Q42</f>
        <v>1453779.3130000001</v>
      </c>
      <c r="W45" s="76">
        <f>U45/V45</f>
        <v>1.191426744424998</v>
      </c>
    </row>
    <row r="46" spans="1:26" s="77" customFormat="1" ht="37.5" x14ac:dyDescent="0.25">
      <c r="A46" s="176">
        <f t="shared" si="26"/>
        <v>24</v>
      </c>
      <c r="B46" s="205" t="s">
        <v>89</v>
      </c>
      <c r="C46" s="177" t="s">
        <v>88</v>
      </c>
      <c r="D46" s="182">
        <v>4.4000000000000004</v>
      </c>
      <c r="E46" s="182">
        <v>4.4000000000000004</v>
      </c>
      <c r="F46" s="183">
        <f t="shared" si="9"/>
        <v>0</v>
      </c>
      <c r="G46" s="182">
        <v>0</v>
      </c>
      <c r="H46" s="182">
        <v>0</v>
      </c>
      <c r="I46" s="182">
        <v>0</v>
      </c>
      <c r="J46" s="182">
        <v>0</v>
      </c>
      <c r="K46" s="182">
        <v>0</v>
      </c>
      <c r="L46" s="182">
        <v>0</v>
      </c>
      <c r="M46" s="186">
        <f>F46/E46*100</f>
        <v>0</v>
      </c>
      <c r="N46" s="184">
        <v>0</v>
      </c>
      <c r="O46" s="185">
        <f t="shared" si="28"/>
        <v>0</v>
      </c>
      <c r="P46" s="186"/>
      <c r="Q46" s="183">
        <v>0</v>
      </c>
      <c r="R46" s="185">
        <f t="shared" si="27"/>
        <v>0</v>
      </c>
      <c r="S46" s="186"/>
    </row>
    <row r="47" spans="1:26" s="86" customFormat="1" ht="43.5" customHeight="1" x14ac:dyDescent="0.3">
      <c r="A47" s="82"/>
      <c r="B47" s="83" t="s">
        <v>159</v>
      </c>
      <c r="C47" s="179"/>
      <c r="D47" s="179">
        <f>D7+D8+D9+D14+D18+D25+D26+D27+D28+D29+D30+D31+D33+D38+D39+D40+D41+D42+D44+D46+D45</f>
        <v>3751621.3889999995</v>
      </c>
      <c r="E47" s="179">
        <f>E7+E8+E9+E14+E18+E25+E26+E27+E28+E29+E30+E31+E33+E38+E39+E40+E41+E42+E44+E46+E45+E32</f>
        <v>3751621.3889999995</v>
      </c>
      <c r="F47" s="179">
        <f t="shared" si="9"/>
        <v>1732920.1460000002</v>
      </c>
      <c r="G47" s="179">
        <f>G7+G8+G9+G14+G18+G25+G26+G27+G28+G29+G30+G31+G33+G38+G39+G40+G41+G42+G44+G46+G45+G32</f>
        <v>237295.24299999996</v>
      </c>
      <c r="H47" s="179">
        <f t="shared" ref="H47:L47" si="29">H7+H8+H9+H14+H18+H25+H26+H27+H28+H29+H30+H31+H33+H38+H39+H40+H41+H42+H44+H46+H45+H32</f>
        <v>305315.033</v>
      </c>
      <c r="I47" s="179">
        <f t="shared" ref="I47:K47" si="30">I7+I8+I9+I14+I18+I25+I26+I27+I28+I29+I30+I31+I33+I38+I39+I40+I41+I42+I44+I46+I45+I32</f>
        <v>276790.2</v>
      </c>
      <c r="J47" s="179">
        <f t="shared" si="30"/>
        <v>310545.73499999999</v>
      </c>
      <c r="K47" s="179">
        <f t="shared" si="30"/>
        <v>308493.50899999996</v>
      </c>
      <c r="L47" s="179">
        <f t="shared" si="29"/>
        <v>294480.42599999998</v>
      </c>
      <c r="M47" s="85">
        <f>F47/E47*100</f>
        <v>46.191232171802731</v>
      </c>
      <c r="N47" s="179">
        <f>N7+N8+N9+N14+N18+N25+N26+N27+N28+N29+N30+N31+N33+N38+N39+N40+N41+N42+N44+N46+N45+N32</f>
        <v>1619344.6680000003</v>
      </c>
      <c r="O47" s="84">
        <f t="shared" si="28"/>
        <v>113575.47799999989</v>
      </c>
      <c r="P47" s="85">
        <f>F47/N47*100</f>
        <v>107.01366918633038</v>
      </c>
      <c r="Q47" s="179">
        <f>Q7+Q8+Q9+Q14+Q18+Q25+Q26+Q27+Q28+Q29+Q30+Q31+Q33+Q38+Q39+Q40+Q41+Q42+Q44+Q46+Q45+Q24+Q43</f>
        <v>1454724.284</v>
      </c>
      <c r="R47" s="84">
        <f t="shared" si="27"/>
        <v>278195.8620000002</v>
      </c>
      <c r="S47" s="85">
        <f>F47/Q47*100</f>
        <v>119.12361435495225</v>
      </c>
      <c r="T47" s="87">
        <v>1454724.284</v>
      </c>
      <c r="U47" s="87">
        <f>T47-Q47</f>
        <v>0</v>
      </c>
      <c r="X47" s="87" t="e">
        <f>#REF!-#REF!-#REF!</f>
        <v>#REF!</v>
      </c>
      <c r="Z47" s="86">
        <v>294547.38299999997</v>
      </c>
    </row>
    <row r="48" spans="1:26" s="10" customFormat="1" ht="39" x14ac:dyDescent="0.25">
      <c r="A48" s="202">
        <v>1</v>
      </c>
      <c r="B48" s="173" t="s">
        <v>133</v>
      </c>
      <c r="C48" s="165" t="s">
        <v>55</v>
      </c>
      <c r="D48" s="189">
        <v>717803.4</v>
      </c>
      <c r="E48" s="189">
        <v>717803.4</v>
      </c>
      <c r="F48" s="183">
        <f t="shared" si="9"/>
        <v>415264.70000000007</v>
      </c>
      <c r="G48" s="182">
        <v>44804.3</v>
      </c>
      <c r="H48" s="182">
        <v>52312.800000000003</v>
      </c>
      <c r="I48" s="182">
        <v>54480.800000000003</v>
      </c>
      <c r="J48" s="182">
        <v>55203.4</v>
      </c>
      <c r="K48" s="182">
        <v>71101.8</v>
      </c>
      <c r="L48" s="182">
        <v>137361.60000000001</v>
      </c>
      <c r="M48" s="186">
        <f>F48/E48*100</f>
        <v>57.852150045541727</v>
      </c>
      <c r="N48" s="182">
        <v>415264.7</v>
      </c>
      <c r="O48" s="185">
        <f t="shared" si="28"/>
        <v>0</v>
      </c>
      <c r="P48" s="186">
        <f>F48/N48*100</f>
        <v>100.00000000000003</v>
      </c>
      <c r="Q48" s="183">
        <v>328880.59999999998</v>
      </c>
      <c r="R48" s="185">
        <f t="shared" si="27"/>
        <v>86384.100000000093</v>
      </c>
      <c r="S48" s="186">
        <f>F48/Q48*100</f>
        <v>126.26609778746453</v>
      </c>
      <c r="T48" s="41"/>
      <c r="U48" s="41"/>
      <c r="V48" s="41"/>
      <c r="W48" s="43"/>
    </row>
    <row r="49" spans="1:23" s="10" customFormat="1" ht="37.5" x14ac:dyDescent="0.25">
      <c r="A49" s="202">
        <f t="shared" ref="A49:A54" si="31">A48+1</f>
        <v>2</v>
      </c>
      <c r="B49" s="214" t="s">
        <v>193</v>
      </c>
      <c r="C49" s="165" t="s">
        <v>56</v>
      </c>
      <c r="D49" s="189">
        <v>0</v>
      </c>
      <c r="E49" s="189">
        <v>0</v>
      </c>
      <c r="F49" s="183">
        <f t="shared" si="9"/>
        <v>0</v>
      </c>
      <c r="G49" s="182">
        <v>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6"/>
      <c r="N49" s="182">
        <v>0</v>
      </c>
      <c r="O49" s="185">
        <f t="shared" si="28"/>
        <v>0</v>
      </c>
      <c r="P49" s="186"/>
      <c r="Q49" s="183">
        <v>72658.799999999988</v>
      </c>
      <c r="R49" s="185">
        <f t="shared" si="27"/>
        <v>-72658.799999999988</v>
      </c>
      <c r="S49" s="186">
        <f>F49/Q49*100</f>
        <v>0</v>
      </c>
      <c r="T49" s="41"/>
      <c r="U49" s="41"/>
      <c r="V49" s="41"/>
      <c r="W49" s="43"/>
    </row>
    <row r="50" spans="1:23" s="10" customFormat="1" ht="56.25" x14ac:dyDescent="0.25">
      <c r="A50" s="202">
        <f t="shared" si="31"/>
        <v>3</v>
      </c>
      <c r="B50" s="214" t="s">
        <v>194</v>
      </c>
      <c r="C50" s="165" t="s">
        <v>175</v>
      </c>
      <c r="D50" s="189">
        <v>0</v>
      </c>
      <c r="E50" s="189">
        <v>10000</v>
      </c>
      <c r="F50" s="183">
        <f t="shared" si="9"/>
        <v>5274</v>
      </c>
      <c r="G50" s="182">
        <v>0</v>
      </c>
      <c r="H50" s="182">
        <v>0</v>
      </c>
      <c r="I50" s="182">
        <v>0</v>
      </c>
      <c r="J50" s="182">
        <v>0</v>
      </c>
      <c r="K50" s="182">
        <v>3516</v>
      </c>
      <c r="L50" s="182">
        <v>1758</v>
      </c>
      <c r="M50" s="186">
        <f>F50/E50*100</f>
        <v>52.739999999999995</v>
      </c>
      <c r="N50" s="182">
        <v>5274</v>
      </c>
      <c r="O50" s="185">
        <f t="shared" si="28"/>
        <v>0</v>
      </c>
      <c r="P50" s="186">
        <f>F50/N50*100</f>
        <v>100</v>
      </c>
      <c r="Q50" s="183">
        <v>0</v>
      </c>
      <c r="R50" s="185">
        <f t="shared" si="27"/>
        <v>5274</v>
      </c>
      <c r="S50" s="186"/>
      <c r="T50" s="41"/>
      <c r="U50" s="41"/>
      <c r="V50" s="41"/>
      <c r="W50" s="43"/>
    </row>
    <row r="51" spans="1:23" s="10" customFormat="1" ht="75" x14ac:dyDescent="0.25">
      <c r="A51" s="202">
        <f t="shared" si="31"/>
        <v>4</v>
      </c>
      <c r="B51" s="215" t="s">
        <v>195</v>
      </c>
      <c r="C51" s="130" t="s">
        <v>118</v>
      </c>
      <c r="D51" s="189">
        <v>0</v>
      </c>
      <c r="E51" s="189">
        <v>0</v>
      </c>
      <c r="F51" s="183">
        <f t="shared" si="9"/>
        <v>0</v>
      </c>
      <c r="G51" s="182">
        <v>0</v>
      </c>
      <c r="H51" s="182">
        <v>0</v>
      </c>
      <c r="I51" s="182">
        <v>0</v>
      </c>
      <c r="J51" s="182">
        <v>0</v>
      </c>
      <c r="K51" s="182">
        <v>0</v>
      </c>
      <c r="L51" s="182">
        <v>0</v>
      </c>
      <c r="M51" s="186"/>
      <c r="N51" s="182">
        <v>0</v>
      </c>
      <c r="O51" s="185">
        <f t="shared" si="28"/>
        <v>0</v>
      </c>
      <c r="P51" s="186"/>
      <c r="Q51" s="183">
        <v>10466.4</v>
      </c>
      <c r="R51" s="185">
        <f t="shared" si="27"/>
        <v>-10466.4</v>
      </c>
      <c r="S51" s="186">
        <f>F51/Q51*100</f>
        <v>0</v>
      </c>
      <c r="T51" s="41"/>
      <c r="U51" s="41"/>
      <c r="V51" s="41"/>
      <c r="W51" s="43"/>
    </row>
    <row r="52" spans="1:23" s="10" customFormat="1" ht="56.25" x14ac:dyDescent="0.25">
      <c r="A52" s="202">
        <f t="shared" si="31"/>
        <v>5</v>
      </c>
      <c r="B52" s="215" t="s">
        <v>196</v>
      </c>
      <c r="C52" s="130" t="s">
        <v>127</v>
      </c>
      <c r="D52" s="189">
        <v>11474.77</v>
      </c>
      <c r="E52" s="189">
        <v>11474.77</v>
      </c>
      <c r="F52" s="183">
        <f t="shared" si="9"/>
        <v>6638.4050000000007</v>
      </c>
      <c r="G52" s="182">
        <v>716.24</v>
      </c>
      <c r="H52" s="182">
        <v>836.27099999999996</v>
      </c>
      <c r="I52" s="182">
        <v>870.92700000000002</v>
      </c>
      <c r="J52" s="182">
        <v>882.48</v>
      </c>
      <c r="K52" s="182">
        <v>1136.6300000000001</v>
      </c>
      <c r="L52" s="182">
        <v>2195.857</v>
      </c>
      <c r="M52" s="186">
        <f>F52/E52*100</f>
        <v>57.852183529604517</v>
      </c>
      <c r="N52" s="184">
        <v>6638.4049999999997</v>
      </c>
      <c r="O52" s="185">
        <f t="shared" si="28"/>
        <v>0</v>
      </c>
      <c r="P52" s="186">
        <f>F52/N52*100</f>
        <v>100.00000000000003</v>
      </c>
      <c r="Q52" s="183">
        <v>4136.5419999999995</v>
      </c>
      <c r="R52" s="185">
        <f t="shared" si="27"/>
        <v>2501.8630000000012</v>
      </c>
      <c r="S52" s="186">
        <f>F52/Q52*100</f>
        <v>160.48199196333559</v>
      </c>
    </row>
    <row r="53" spans="1:23" s="10" customFormat="1" ht="56.25" x14ac:dyDescent="0.25">
      <c r="A53" s="202">
        <f t="shared" si="31"/>
        <v>6</v>
      </c>
      <c r="B53" s="215" t="s">
        <v>197</v>
      </c>
      <c r="C53" s="130">
        <v>41051200</v>
      </c>
      <c r="D53" s="189">
        <v>4100.6319999999996</v>
      </c>
      <c r="E53" s="189">
        <v>4100.6319999999996</v>
      </c>
      <c r="F53" s="183">
        <f t="shared" si="9"/>
        <v>1766.604</v>
      </c>
      <c r="G53" s="182">
        <v>203.22900000000001</v>
      </c>
      <c r="H53" s="182">
        <v>203.22900000000001</v>
      </c>
      <c r="I53" s="182">
        <v>203.22900000000001</v>
      </c>
      <c r="J53" s="182">
        <v>297.09899999999999</v>
      </c>
      <c r="K53" s="182">
        <v>226.691</v>
      </c>
      <c r="L53" s="182">
        <v>633.12699999999995</v>
      </c>
      <c r="M53" s="186">
        <f>F53/E53*100</f>
        <v>43.081261620160021</v>
      </c>
      <c r="N53" s="184">
        <v>1766.604</v>
      </c>
      <c r="O53" s="185">
        <f t="shared" si="28"/>
        <v>0</v>
      </c>
      <c r="P53" s="186">
        <f>F53/N53*100</f>
        <v>100</v>
      </c>
      <c r="Q53" s="183">
        <v>2047.0910000000001</v>
      </c>
      <c r="R53" s="185">
        <f t="shared" si="27"/>
        <v>-280.48700000000008</v>
      </c>
      <c r="S53" s="186">
        <f>F53/Q53*100</f>
        <v>86.29826421981241</v>
      </c>
    </row>
    <row r="54" spans="1:23" s="10" customFormat="1" ht="75" x14ac:dyDescent="0.25">
      <c r="A54" s="202">
        <f t="shared" si="31"/>
        <v>7</v>
      </c>
      <c r="B54" s="215" t="s">
        <v>198</v>
      </c>
      <c r="C54" s="130" t="s">
        <v>174</v>
      </c>
      <c r="D54" s="189">
        <v>0</v>
      </c>
      <c r="E54" s="189">
        <v>0</v>
      </c>
      <c r="F54" s="183">
        <f t="shared" si="9"/>
        <v>0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6"/>
      <c r="N54" s="184">
        <v>0</v>
      </c>
      <c r="O54" s="185">
        <f t="shared" si="28"/>
        <v>0</v>
      </c>
      <c r="P54" s="186"/>
      <c r="Q54" s="183">
        <v>2370.6189999999997</v>
      </c>
      <c r="R54" s="185">
        <f t="shared" si="27"/>
        <v>-2370.6189999999997</v>
      </c>
      <c r="S54" s="186"/>
    </row>
    <row r="55" spans="1:23" s="10" customFormat="1" ht="56.25" x14ac:dyDescent="0.25">
      <c r="A55" s="225">
        <v>8</v>
      </c>
      <c r="B55" s="215" t="s">
        <v>199</v>
      </c>
      <c r="C55" s="226" t="s">
        <v>107</v>
      </c>
      <c r="D55" s="189">
        <f>SUM(D56:D57)</f>
        <v>0</v>
      </c>
      <c r="E55" s="189">
        <f>SUM(E56:E57)</f>
        <v>0</v>
      </c>
      <c r="F55" s="183">
        <f t="shared" si="9"/>
        <v>0</v>
      </c>
      <c r="G55" s="182">
        <f>SUM(G56:G57)</f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6"/>
      <c r="N55" s="184">
        <f>SUM(N56:N57)</f>
        <v>0</v>
      </c>
      <c r="O55" s="185">
        <f t="shared" si="28"/>
        <v>0</v>
      </c>
      <c r="P55" s="186"/>
      <c r="Q55" s="183">
        <v>5611.1929999999993</v>
      </c>
      <c r="R55" s="185">
        <f t="shared" si="27"/>
        <v>-5611.1929999999993</v>
      </c>
      <c r="S55" s="186"/>
    </row>
    <row r="56" spans="1:23" s="40" customFormat="1" ht="75" hidden="1" x14ac:dyDescent="0.25">
      <c r="A56" s="225"/>
      <c r="B56" s="216" t="s">
        <v>95</v>
      </c>
      <c r="C56" s="226"/>
      <c r="D56" s="190">
        <v>0</v>
      </c>
      <c r="E56" s="190">
        <v>0</v>
      </c>
      <c r="F56" s="168">
        <f t="shared" si="9"/>
        <v>0</v>
      </c>
      <c r="G56" s="187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8"/>
      <c r="N56" s="117">
        <v>0</v>
      </c>
      <c r="O56" s="118">
        <f t="shared" si="28"/>
        <v>0</v>
      </c>
      <c r="P56" s="188"/>
      <c r="Q56" s="168">
        <v>3462.7930000000001</v>
      </c>
      <c r="R56" s="118">
        <f t="shared" si="27"/>
        <v>-3462.7930000000001</v>
      </c>
      <c r="S56" s="188"/>
    </row>
    <row r="57" spans="1:23" s="40" customFormat="1" ht="37.5" hidden="1" x14ac:dyDescent="0.25">
      <c r="A57" s="225"/>
      <c r="B57" s="216" t="s">
        <v>103</v>
      </c>
      <c r="C57" s="226"/>
      <c r="D57" s="190">
        <v>0</v>
      </c>
      <c r="E57" s="190">
        <f t="shared" ref="E57" si="32">D57</f>
        <v>0</v>
      </c>
      <c r="F57" s="168">
        <f t="shared" si="9"/>
        <v>0</v>
      </c>
      <c r="G57" s="187">
        <v>0</v>
      </c>
      <c r="H57" s="187">
        <v>0</v>
      </c>
      <c r="I57" s="187">
        <v>0</v>
      </c>
      <c r="J57" s="187">
        <v>0</v>
      </c>
      <c r="K57" s="187">
        <v>0</v>
      </c>
      <c r="L57" s="187">
        <v>0</v>
      </c>
      <c r="M57" s="188"/>
      <c r="N57" s="117">
        <v>0</v>
      </c>
      <c r="O57" s="118">
        <f t="shared" si="28"/>
        <v>0</v>
      </c>
      <c r="P57" s="188"/>
      <c r="Q57" s="168">
        <v>2148.4</v>
      </c>
      <c r="R57" s="118">
        <f t="shared" si="27"/>
        <v>-2148.4</v>
      </c>
      <c r="S57" s="188"/>
      <c r="V57" s="40" t="e">
        <f>T57/#REF!*100</f>
        <v>#REF!</v>
      </c>
    </row>
    <row r="58" spans="1:23" s="40" customFormat="1" ht="75" x14ac:dyDescent="0.25">
      <c r="A58" s="202">
        <v>9</v>
      </c>
      <c r="B58" s="215" t="s">
        <v>200</v>
      </c>
      <c r="C58" s="130">
        <v>41051700</v>
      </c>
      <c r="D58" s="189">
        <v>0</v>
      </c>
      <c r="E58" s="189">
        <v>0</v>
      </c>
      <c r="F58" s="183">
        <f t="shared" si="9"/>
        <v>0</v>
      </c>
      <c r="G58" s="182">
        <v>0</v>
      </c>
      <c r="H58" s="182">
        <v>0</v>
      </c>
      <c r="I58" s="182">
        <v>0</v>
      </c>
      <c r="J58" s="182">
        <v>0</v>
      </c>
      <c r="K58" s="182">
        <v>0</v>
      </c>
      <c r="L58" s="182">
        <v>0</v>
      </c>
      <c r="M58" s="188"/>
      <c r="N58" s="182">
        <v>0</v>
      </c>
      <c r="O58" s="182">
        <v>0</v>
      </c>
      <c r="P58" s="188"/>
      <c r="Q58" s="168">
        <v>462.70299999999997</v>
      </c>
      <c r="R58" s="185">
        <f t="shared" si="27"/>
        <v>-462.70299999999997</v>
      </c>
      <c r="S58" s="188"/>
    </row>
    <row r="59" spans="1:23" s="10" customFormat="1" ht="75" x14ac:dyDescent="0.25">
      <c r="A59" s="202">
        <f>A58+1</f>
        <v>10</v>
      </c>
      <c r="B59" s="217" t="s">
        <v>201</v>
      </c>
      <c r="C59" s="130" t="s">
        <v>134</v>
      </c>
      <c r="D59" s="189">
        <v>7100</v>
      </c>
      <c r="E59" s="189">
        <f>7100+2916.268+861.125</f>
        <v>10877.393</v>
      </c>
      <c r="F59" s="183">
        <f t="shared" si="9"/>
        <v>10877.393</v>
      </c>
      <c r="G59" s="182">
        <v>1183.3330000000001</v>
      </c>
      <c r="H59" s="182">
        <v>1183.3330000000001</v>
      </c>
      <c r="I59" s="182">
        <v>1183.3330000000001</v>
      </c>
      <c r="J59" s="182">
        <v>1183.3330000000001</v>
      </c>
      <c r="K59" s="182">
        <v>3056.2190000000001</v>
      </c>
      <c r="L59" s="182">
        <v>3087.8420000000001</v>
      </c>
      <c r="M59" s="186">
        <f t="shared" ref="M59:M65" si="33">F59/E59*100</f>
        <v>100</v>
      </c>
      <c r="N59" s="184">
        <v>10877.393</v>
      </c>
      <c r="O59" s="185">
        <f t="shared" si="28"/>
        <v>0</v>
      </c>
      <c r="P59" s="186">
        <f t="shared" ref="P59:P64" si="34">F59/N59*100</f>
        <v>100</v>
      </c>
      <c r="Q59" s="183">
        <v>5370.7</v>
      </c>
      <c r="R59" s="185">
        <f t="shared" si="27"/>
        <v>5506.6930000000002</v>
      </c>
      <c r="S59" s="186">
        <f>F59/Q59*100</f>
        <v>202.53212802800383</v>
      </c>
      <c r="T59" s="116"/>
      <c r="U59" s="116"/>
    </row>
    <row r="60" spans="1:23" s="10" customFormat="1" ht="33" customHeight="1" x14ac:dyDescent="0.25">
      <c r="A60" s="202">
        <f>A59+1</f>
        <v>11</v>
      </c>
      <c r="B60" s="217" t="s">
        <v>202</v>
      </c>
      <c r="C60" s="130" t="s">
        <v>119</v>
      </c>
      <c r="D60" s="189">
        <f>SUM(D61:D66)</f>
        <v>3644</v>
      </c>
      <c r="E60" s="189">
        <f>SUM(E61:E66)</f>
        <v>4298.8240000000005</v>
      </c>
      <c r="F60" s="183">
        <f t="shared" si="9"/>
        <v>1373.1179999999999</v>
      </c>
      <c r="G60" s="182">
        <f t="shared" ref="G60:N60" si="35">SUM(G61:G66)</f>
        <v>0</v>
      </c>
      <c r="H60" s="182">
        <f t="shared" si="35"/>
        <v>57.276000000000003</v>
      </c>
      <c r="I60" s="182">
        <f t="shared" si="35"/>
        <v>466.01400000000001</v>
      </c>
      <c r="J60" s="182">
        <f t="shared" si="35"/>
        <v>231.05500000000001</v>
      </c>
      <c r="K60" s="182">
        <f>SUM(K61:K66)</f>
        <v>320.97299999999996</v>
      </c>
      <c r="L60" s="182">
        <f>SUM(L61:L66)</f>
        <v>297.8</v>
      </c>
      <c r="M60" s="186">
        <f t="shared" si="33"/>
        <v>31.941712431120695</v>
      </c>
      <c r="N60" s="182">
        <f t="shared" si="35"/>
        <v>2293.4380000000001</v>
      </c>
      <c r="O60" s="185">
        <f t="shared" si="28"/>
        <v>-920.32000000000016</v>
      </c>
      <c r="P60" s="186">
        <f t="shared" si="34"/>
        <v>59.871598883423047</v>
      </c>
      <c r="Q60" s="183">
        <f t="shared" ref="Q60" si="36">SUM(Q61:Q63)</f>
        <v>626.947</v>
      </c>
      <c r="R60" s="185">
        <f t="shared" si="27"/>
        <v>746.17099999999994</v>
      </c>
      <c r="S60" s="186">
        <f>F60/Q60*100</f>
        <v>219.01659948927099</v>
      </c>
      <c r="T60" s="116">
        <v>5098.8379999999997</v>
      </c>
      <c r="U60" s="116">
        <f>T60-Q60</f>
        <v>4471.8909999999996</v>
      </c>
    </row>
    <row r="61" spans="1:23" s="40" customFormat="1" ht="57.75" x14ac:dyDescent="0.25">
      <c r="A61" s="167" t="s">
        <v>176</v>
      </c>
      <c r="B61" s="216" t="s">
        <v>203</v>
      </c>
      <c r="C61" s="102"/>
      <c r="D61" s="190">
        <v>105</v>
      </c>
      <c r="E61" s="190">
        <v>105</v>
      </c>
      <c r="F61" s="168">
        <f t="shared" si="9"/>
        <v>51.595999999999997</v>
      </c>
      <c r="G61" s="187">
        <v>0</v>
      </c>
      <c r="H61" s="187">
        <v>0</v>
      </c>
      <c r="I61" s="187">
        <v>26.256</v>
      </c>
      <c r="J61" s="187">
        <v>5.5039999999999996</v>
      </c>
      <c r="K61" s="187">
        <f>12</f>
        <v>12</v>
      </c>
      <c r="L61" s="187">
        <v>7.8360000000000003</v>
      </c>
      <c r="M61" s="188">
        <f t="shared" si="33"/>
        <v>49.139047619047616</v>
      </c>
      <c r="N61" s="117">
        <v>52.512</v>
      </c>
      <c r="O61" s="118">
        <f t="shared" si="28"/>
        <v>-0.91600000000000392</v>
      </c>
      <c r="P61" s="188">
        <f t="shared" si="34"/>
        <v>98.255636806825095</v>
      </c>
      <c r="Q61" s="168">
        <v>35.363</v>
      </c>
      <c r="R61" s="118">
        <f t="shared" si="27"/>
        <v>16.232999999999997</v>
      </c>
      <c r="S61" s="188">
        <f>F61/Q61*100</f>
        <v>145.90391086729068</v>
      </c>
    </row>
    <row r="62" spans="1:23" s="40" customFormat="1" ht="57.75" x14ac:dyDescent="0.25">
      <c r="A62" s="167" t="s">
        <v>177</v>
      </c>
      <c r="B62" s="216" t="s">
        <v>204</v>
      </c>
      <c r="C62" s="102"/>
      <c r="D62" s="190">
        <v>1246.7</v>
      </c>
      <c r="E62" s="190">
        <v>1246.7</v>
      </c>
      <c r="F62" s="168">
        <f t="shared" si="9"/>
        <v>520.5619999999999</v>
      </c>
      <c r="G62" s="187">
        <v>0</v>
      </c>
      <c r="H62" s="187">
        <v>57.276000000000003</v>
      </c>
      <c r="I62" s="187">
        <v>61.982999999999997</v>
      </c>
      <c r="J62" s="187">
        <v>122.77</v>
      </c>
      <c r="K62" s="187">
        <f>136.271</f>
        <v>136.27099999999999</v>
      </c>
      <c r="L62" s="187">
        <v>142.262</v>
      </c>
      <c r="M62" s="188">
        <f t="shared" si="33"/>
        <v>41.755193711398078</v>
      </c>
      <c r="N62" s="117">
        <v>520.56600000000003</v>
      </c>
      <c r="O62" s="118">
        <f t="shared" si="28"/>
        <v>-4.0000000001327862E-3</v>
      </c>
      <c r="P62" s="188">
        <f t="shared" si="34"/>
        <v>99.999231605598496</v>
      </c>
      <c r="Q62" s="168">
        <v>445.48399999999998</v>
      </c>
      <c r="R62" s="118">
        <f t="shared" si="27"/>
        <v>75.077999999999918</v>
      </c>
      <c r="S62" s="188">
        <f>F62/Q62*100</f>
        <v>116.8531305276957</v>
      </c>
    </row>
    <row r="63" spans="1:23" s="40" customFormat="1" ht="96" x14ac:dyDescent="0.25">
      <c r="A63" s="167" t="s">
        <v>178</v>
      </c>
      <c r="B63" s="216" t="s">
        <v>205</v>
      </c>
      <c r="C63" s="102"/>
      <c r="D63" s="190">
        <v>292.3</v>
      </c>
      <c r="E63" s="190">
        <v>292.3</v>
      </c>
      <c r="F63" s="168">
        <f t="shared" si="9"/>
        <v>146.136</v>
      </c>
      <c r="G63" s="187">
        <v>0</v>
      </c>
      <c r="H63" s="187">
        <v>0</v>
      </c>
      <c r="I63" s="187">
        <v>146.136</v>
      </c>
      <c r="J63" s="187">
        <v>0</v>
      </c>
      <c r="K63" s="187">
        <v>0</v>
      </c>
      <c r="L63" s="187">
        <v>0</v>
      </c>
      <c r="M63" s="188">
        <f t="shared" si="33"/>
        <v>49.995210400273685</v>
      </c>
      <c r="N63" s="117">
        <v>146.136</v>
      </c>
      <c r="O63" s="118">
        <f t="shared" si="28"/>
        <v>0</v>
      </c>
      <c r="P63" s="188">
        <f t="shared" si="34"/>
        <v>100</v>
      </c>
      <c r="Q63" s="168">
        <v>146.1</v>
      </c>
      <c r="R63" s="118">
        <f t="shared" si="27"/>
        <v>3.6000000000001364E-2</v>
      </c>
      <c r="S63" s="188">
        <f>F63/Q63*100</f>
        <v>100.02464065708419</v>
      </c>
    </row>
    <row r="64" spans="1:23" s="40" customFormat="1" ht="77.25" x14ac:dyDescent="0.25">
      <c r="A64" s="167" t="s">
        <v>179</v>
      </c>
      <c r="B64" s="216" t="s">
        <v>206</v>
      </c>
      <c r="C64" s="102"/>
      <c r="D64" s="190">
        <v>0</v>
      </c>
      <c r="E64" s="190">
        <f>334.42+147.702+147.702</f>
        <v>629.82400000000007</v>
      </c>
      <c r="F64" s="168">
        <f t="shared" si="9"/>
        <v>629.82400000000007</v>
      </c>
      <c r="G64" s="187">
        <v>0</v>
      </c>
      <c r="H64" s="187">
        <v>0</v>
      </c>
      <c r="I64" s="187">
        <v>231.63900000000001</v>
      </c>
      <c r="J64" s="187">
        <v>102.78100000000001</v>
      </c>
      <c r="K64" s="187">
        <v>147.702</v>
      </c>
      <c r="L64" s="187">
        <v>147.702</v>
      </c>
      <c r="M64" s="188">
        <f t="shared" si="33"/>
        <v>100</v>
      </c>
      <c r="N64" s="117">
        <v>629.82399999999996</v>
      </c>
      <c r="O64" s="118">
        <f t="shared" si="28"/>
        <v>0</v>
      </c>
      <c r="P64" s="188">
        <f t="shared" si="34"/>
        <v>100.00000000000003</v>
      </c>
      <c r="Q64" s="168">
        <v>0</v>
      </c>
      <c r="R64" s="118">
        <f t="shared" si="27"/>
        <v>629.82400000000007</v>
      </c>
      <c r="S64" s="188"/>
    </row>
    <row r="65" spans="1:24" s="40" customFormat="1" ht="96" x14ac:dyDescent="0.25">
      <c r="A65" s="167" t="s">
        <v>180</v>
      </c>
      <c r="B65" s="216" t="s">
        <v>207</v>
      </c>
      <c r="C65" s="102"/>
      <c r="D65" s="190">
        <v>2000</v>
      </c>
      <c r="E65" s="190">
        <v>2000</v>
      </c>
      <c r="F65" s="168">
        <f>SUM(G65:L65)</f>
        <v>0</v>
      </c>
      <c r="G65" s="187">
        <v>0</v>
      </c>
      <c r="H65" s="187">
        <v>0</v>
      </c>
      <c r="I65" s="187">
        <v>0</v>
      </c>
      <c r="J65" s="187">
        <v>0</v>
      </c>
      <c r="K65" s="187">
        <v>0</v>
      </c>
      <c r="L65" s="187">
        <v>0</v>
      </c>
      <c r="M65" s="188">
        <f t="shared" si="33"/>
        <v>0</v>
      </c>
      <c r="N65" s="117">
        <v>919.4</v>
      </c>
      <c r="O65" s="118">
        <f>F65-N65</f>
        <v>-919.4</v>
      </c>
      <c r="P65" s="188">
        <f>F65/N65*100</f>
        <v>0</v>
      </c>
      <c r="Q65" s="168">
        <v>0</v>
      </c>
      <c r="R65" s="118">
        <f t="shared" si="27"/>
        <v>0</v>
      </c>
      <c r="S65" s="188"/>
    </row>
    <row r="66" spans="1:24" s="40" customFormat="1" ht="190.5" x14ac:dyDescent="0.25">
      <c r="A66" s="167" t="s">
        <v>181</v>
      </c>
      <c r="B66" s="216" t="s">
        <v>208</v>
      </c>
      <c r="C66" s="102"/>
      <c r="D66" s="190">
        <v>0</v>
      </c>
      <c r="E66" s="190">
        <v>25</v>
      </c>
      <c r="F66" s="168">
        <f>SUM(G66:L66)</f>
        <v>25</v>
      </c>
      <c r="G66" s="187">
        <v>0</v>
      </c>
      <c r="H66" s="187">
        <v>0</v>
      </c>
      <c r="I66" s="187">
        <v>0</v>
      </c>
      <c r="J66" s="187">
        <v>0</v>
      </c>
      <c r="K66" s="187">
        <v>25</v>
      </c>
      <c r="L66" s="187">
        <v>0</v>
      </c>
      <c r="M66" s="188"/>
      <c r="N66" s="117">
        <v>25</v>
      </c>
      <c r="O66" s="118">
        <f>F66-N66</f>
        <v>0</v>
      </c>
      <c r="P66" s="188">
        <f>F66/N66*100</f>
        <v>100</v>
      </c>
      <c r="Q66" s="168">
        <v>0</v>
      </c>
      <c r="R66" s="118">
        <f t="shared" si="27"/>
        <v>25</v>
      </c>
      <c r="S66" s="188"/>
    </row>
    <row r="67" spans="1:24" s="10" customFormat="1" ht="23.25" x14ac:dyDescent="0.25">
      <c r="A67" s="202"/>
      <c r="B67" s="131"/>
      <c r="C67" s="165"/>
      <c r="D67" s="189"/>
      <c r="E67" s="189"/>
      <c r="F67" s="183"/>
      <c r="G67" s="182"/>
      <c r="H67" s="182"/>
      <c r="I67" s="182"/>
      <c r="J67" s="182"/>
      <c r="K67" s="182"/>
      <c r="L67" s="182"/>
      <c r="M67" s="186"/>
      <c r="N67" s="189"/>
      <c r="O67" s="185"/>
      <c r="P67" s="186"/>
      <c r="Q67" s="183"/>
      <c r="R67" s="118"/>
      <c r="S67" s="186"/>
    </row>
    <row r="68" spans="1:24" s="47" customFormat="1" ht="31.5" customHeight="1" x14ac:dyDescent="0.3">
      <c r="A68" s="44"/>
      <c r="B68" s="48" t="s">
        <v>28</v>
      </c>
      <c r="C68" s="45"/>
      <c r="D68" s="171">
        <f>D71+D70</f>
        <v>744122.80200000003</v>
      </c>
      <c r="E68" s="171">
        <f>E71+E70</f>
        <v>758555.01899999997</v>
      </c>
      <c r="F68" s="171">
        <f t="shared" si="9"/>
        <v>441194.22</v>
      </c>
      <c r="G68" s="171">
        <f t="shared" ref="G68:N68" si="37">G71+G70</f>
        <v>46907.102000000006</v>
      </c>
      <c r="H68" s="171">
        <f t="shared" si="37"/>
        <v>54592.909</v>
      </c>
      <c r="I68" s="171">
        <f t="shared" si="37"/>
        <v>57204.303</v>
      </c>
      <c r="J68" s="171">
        <f t="shared" si="37"/>
        <v>57797.366999999998</v>
      </c>
      <c r="K68" s="171">
        <f t="shared" ref="K68" si="38">K71+K70</f>
        <v>79358.313000000009</v>
      </c>
      <c r="L68" s="171">
        <f t="shared" si="37"/>
        <v>145334.226</v>
      </c>
      <c r="M68" s="85">
        <f>F68/E68*100</f>
        <v>58.162454792221205</v>
      </c>
      <c r="N68" s="171">
        <f t="shared" si="37"/>
        <v>442114.54000000004</v>
      </c>
      <c r="O68" s="84">
        <f>F68-N68</f>
        <v>-920.32000000006519</v>
      </c>
      <c r="P68" s="85">
        <f>F68/N68*100</f>
        <v>99.791836748911251</v>
      </c>
      <c r="Q68" s="171">
        <f>Q71+Q70</f>
        <v>432631.59499999997</v>
      </c>
      <c r="R68" s="84">
        <f>F68-Q68</f>
        <v>8562.625</v>
      </c>
      <c r="S68" s="85">
        <f>F68/Q68*100</f>
        <v>101.9791954861734</v>
      </c>
    </row>
    <row r="69" spans="1:24" s="13" customFormat="1" ht="23.25" hidden="1" x14ac:dyDescent="0.25">
      <c r="A69" s="12"/>
      <c r="B69" s="162" t="s">
        <v>104</v>
      </c>
      <c r="C69" s="11"/>
      <c r="D69" s="191"/>
      <c r="E69" s="191"/>
      <c r="F69" s="120"/>
      <c r="G69" s="191"/>
      <c r="H69" s="191"/>
      <c r="I69" s="191"/>
      <c r="J69" s="191"/>
      <c r="K69" s="191"/>
      <c r="L69" s="191"/>
      <c r="M69" s="90"/>
      <c r="N69" s="191"/>
      <c r="O69" s="185"/>
      <c r="P69" s="186"/>
      <c r="Q69" s="120"/>
      <c r="R69" s="89"/>
      <c r="S69" s="90"/>
    </row>
    <row r="70" spans="1:24" s="13" customFormat="1" ht="40.5" hidden="1" x14ac:dyDescent="0.25">
      <c r="A70" s="12"/>
      <c r="B70" s="154" t="s">
        <v>120</v>
      </c>
      <c r="C70" s="24"/>
      <c r="D70" s="172">
        <f>D51</f>
        <v>0</v>
      </c>
      <c r="E70" s="172">
        <f>E51</f>
        <v>0</v>
      </c>
      <c r="F70" s="171">
        <f t="shared" si="9"/>
        <v>0</v>
      </c>
      <c r="G70" s="172">
        <f t="shared" ref="G70:N70" si="39">G51</f>
        <v>0</v>
      </c>
      <c r="H70" s="172">
        <f t="shared" si="39"/>
        <v>0</v>
      </c>
      <c r="I70" s="172">
        <f t="shared" si="39"/>
        <v>0</v>
      </c>
      <c r="J70" s="172">
        <f t="shared" si="39"/>
        <v>0</v>
      </c>
      <c r="K70" s="172">
        <f t="shared" ref="K70" si="40">K51</f>
        <v>0</v>
      </c>
      <c r="L70" s="172">
        <f t="shared" si="39"/>
        <v>0</v>
      </c>
      <c r="M70" s="90"/>
      <c r="N70" s="172">
        <f t="shared" si="39"/>
        <v>0</v>
      </c>
      <c r="O70" s="89">
        <f>F70-N70</f>
        <v>0</v>
      </c>
      <c r="P70" s="90"/>
      <c r="Q70" s="171">
        <f>Q51</f>
        <v>10466.4</v>
      </c>
      <c r="R70" s="89">
        <f>F70-Q70</f>
        <v>-10466.4</v>
      </c>
      <c r="S70" s="90">
        <f>F70/Q70*100</f>
        <v>0</v>
      </c>
    </row>
    <row r="71" spans="1:24" s="13" customFormat="1" ht="22.5" hidden="1" x14ac:dyDescent="0.25">
      <c r="A71" s="12"/>
      <c r="B71" s="154" t="s">
        <v>76</v>
      </c>
      <c r="C71" s="24"/>
      <c r="D71" s="172">
        <f>D72+D73</f>
        <v>744122.80200000003</v>
      </c>
      <c r="E71" s="172">
        <f>E72+E73</f>
        <v>758555.01899999997</v>
      </c>
      <c r="F71" s="171">
        <f t="shared" si="9"/>
        <v>441194.22</v>
      </c>
      <c r="G71" s="172">
        <f t="shared" ref="G71:N71" si="41">G72+G73</f>
        <v>46907.102000000006</v>
      </c>
      <c r="H71" s="172">
        <f t="shared" si="41"/>
        <v>54592.909</v>
      </c>
      <c r="I71" s="172">
        <f t="shared" si="41"/>
        <v>57204.303</v>
      </c>
      <c r="J71" s="172">
        <f t="shared" si="41"/>
        <v>57797.366999999998</v>
      </c>
      <c r="K71" s="172">
        <f t="shared" ref="K71" si="42">K72+K73</f>
        <v>79358.313000000009</v>
      </c>
      <c r="L71" s="172">
        <f t="shared" si="41"/>
        <v>145334.226</v>
      </c>
      <c r="M71" s="90">
        <f>F71/E71*100</f>
        <v>58.162454792221205</v>
      </c>
      <c r="N71" s="172">
        <f t="shared" si="41"/>
        <v>442114.54000000004</v>
      </c>
      <c r="O71" s="89">
        <f>F71-N71</f>
        <v>-920.32000000006519</v>
      </c>
      <c r="P71" s="90">
        <f>F71/N71*100</f>
        <v>99.791836748911251</v>
      </c>
      <c r="Q71" s="171">
        <f t="shared" ref="Q71" si="43">Q72+Q73</f>
        <v>422165.19499999995</v>
      </c>
      <c r="R71" s="89">
        <f>F71-Q71</f>
        <v>19029.025000000023</v>
      </c>
      <c r="S71" s="90">
        <f>F71/Q71*100</f>
        <v>104.5074831429436</v>
      </c>
    </row>
    <row r="72" spans="1:24" s="8" customFormat="1" ht="23.25" hidden="1" x14ac:dyDescent="0.25">
      <c r="A72" s="14"/>
      <c r="B72" s="17" t="s">
        <v>109</v>
      </c>
      <c r="C72" s="17"/>
      <c r="D72" s="190">
        <f>D48+D49</f>
        <v>717803.4</v>
      </c>
      <c r="E72" s="190">
        <f>E48+E49+E50</f>
        <v>727803.4</v>
      </c>
      <c r="F72" s="121">
        <f t="shared" si="9"/>
        <v>420538.70000000007</v>
      </c>
      <c r="G72" s="190">
        <f t="shared" ref="G72:N72" si="44">G48+G49+G50</f>
        <v>44804.3</v>
      </c>
      <c r="H72" s="190">
        <f t="shared" si="44"/>
        <v>52312.800000000003</v>
      </c>
      <c r="I72" s="190">
        <f t="shared" si="44"/>
        <v>54480.800000000003</v>
      </c>
      <c r="J72" s="190">
        <f t="shared" ref="J72:K72" si="45">J48+J49+J50</f>
        <v>55203.4</v>
      </c>
      <c r="K72" s="190">
        <f t="shared" si="45"/>
        <v>74617.8</v>
      </c>
      <c r="L72" s="190">
        <f t="shared" si="44"/>
        <v>139119.6</v>
      </c>
      <c r="M72" s="188">
        <f>F72/E72*100</f>
        <v>57.781909235378684</v>
      </c>
      <c r="N72" s="190">
        <f t="shared" si="44"/>
        <v>420538.7</v>
      </c>
      <c r="O72" s="118">
        <f>F72-N72</f>
        <v>0</v>
      </c>
      <c r="P72" s="188">
        <f>F72/N72*100</f>
        <v>100.00000000000003</v>
      </c>
      <c r="Q72" s="121">
        <f>Q48+Q49</f>
        <v>401539.39999999997</v>
      </c>
      <c r="R72" s="118">
        <f>F72-Q72</f>
        <v>18999.300000000105</v>
      </c>
      <c r="S72" s="188">
        <f>F72/Q72*100</f>
        <v>104.73161537821696</v>
      </c>
    </row>
    <row r="73" spans="1:24" s="8" customFormat="1" ht="23.25" hidden="1" x14ac:dyDescent="0.25">
      <c r="A73" s="14"/>
      <c r="B73" s="163" t="s">
        <v>108</v>
      </c>
      <c r="C73" s="17"/>
      <c r="D73" s="190">
        <f>D52+D55+D60+D53+D59</f>
        <v>26319.402000000002</v>
      </c>
      <c r="E73" s="190">
        <f>E52+E55+E60+E53+E59</f>
        <v>30751.619000000002</v>
      </c>
      <c r="F73" s="121">
        <f t="shared" si="9"/>
        <v>20655.52</v>
      </c>
      <c r="G73" s="190">
        <f t="shared" ref="G73:N73" si="46">G52+G55+G60+G53+G59</f>
        <v>2102.8020000000001</v>
      </c>
      <c r="H73" s="190">
        <f t="shared" si="46"/>
        <v>2280.1089999999999</v>
      </c>
      <c r="I73" s="190">
        <f t="shared" si="46"/>
        <v>2723.5030000000002</v>
      </c>
      <c r="J73" s="190">
        <f t="shared" si="46"/>
        <v>2593.9670000000001</v>
      </c>
      <c r="K73" s="190">
        <f t="shared" ref="K73" si="47">K52+K55+K60+K53+K59</f>
        <v>4740.5129999999999</v>
      </c>
      <c r="L73" s="190">
        <f t="shared" si="46"/>
        <v>6214.6260000000002</v>
      </c>
      <c r="M73" s="188">
        <f>F73/E73*100</f>
        <v>67.168886295059778</v>
      </c>
      <c r="N73" s="190">
        <f t="shared" si="46"/>
        <v>21575.84</v>
      </c>
      <c r="O73" s="118">
        <f>F73-N73</f>
        <v>-920.31999999999971</v>
      </c>
      <c r="P73" s="188">
        <f>F73/N73*100</f>
        <v>95.73448820532596</v>
      </c>
      <c r="Q73" s="121">
        <f>Q52+Q55+Q60+Q53+Q59+Q58+Q54</f>
        <v>20625.794999999998</v>
      </c>
      <c r="R73" s="118">
        <f>F73-Q73</f>
        <v>29.725000000002183</v>
      </c>
      <c r="S73" s="188">
        <f>F73/Q73*100</f>
        <v>100.14411565711771</v>
      </c>
    </row>
    <row r="74" spans="1:24" s="8" customFormat="1" ht="23.25" x14ac:dyDescent="0.25">
      <c r="A74" s="14"/>
      <c r="B74" s="42"/>
      <c r="C74" s="17"/>
      <c r="D74" s="190"/>
      <c r="E74" s="190"/>
      <c r="F74" s="121"/>
      <c r="G74" s="190"/>
      <c r="H74" s="190"/>
      <c r="I74" s="190"/>
      <c r="J74" s="190"/>
      <c r="K74" s="190"/>
      <c r="L74" s="190"/>
      <c r="M74" s="188"/>
      <c r="N74" s="190"/>
      <c r="O74" s="118"/>
      <c r="P74" s="188"/>
      <c r="Q74" s="121"/>
      <c r="R74" s="118"/>
      <c r="S74" s="188"/>
    </row>
    <row r="75" spans="1:24" s="142" customFormat="1" ht="46.5" x14ac:dyDescent="0.3">
      <c r="A75" s="135"/>
      <c r="B75" s="136" t="s">
        <v>27</v>
      </c>
      <c r="C75" s="137"/>
      <c r="D75" s="138">
        <f>D68+D47</f>
        <v>4495744.1909999996</v>
      </c>
      <c r="E75" s="138">
        <f>E68+E47</f>
        <v>4510176.4079999998</v>
      </c>
      <c r="F75" s="138">
        <f t="shared" si="9"/>
        <v>2174114.3659999999</v>
      </c>
      <c r="G75" s="138">
        <f t="shared" ref="G75:N75" si="48">G68+G47</f>
        <v>284202.34499999997</v>
      </c>
      <c r="H75" s="138">
        <f t="shared" si="48"/>
        <v>359907.94199999998</v>
      </c>
      <c r="I75" s="138">
        <f t="shared" si="48"/>
        <v>333994.50300000003</v>
      </c>
      <c r="J75" s="138">
        <f t="shared" si="48"/>
        <v>368343.10199999996</v>
      </c>
      <c r="K75" s="138">
        <f t="shared" ref="K75" si="49">K68+K47</f>
        <v>387851.82199999999</v>
      </c>
      <c r="L75" s="138">
        <f t="shared" si="48"/>
        <v>439814.652</v>
      </c>
      <c r="M75" s="140">
        <f>F75/E75*100</f>
        <v>48.204641444703334</v>
      </c>
      <c r="N75" s="138">
        <f t="shared" si="48"/>
        <v>2061459.2080000003</v>
      </c>
      <c r="O75" s="139">
        <f>F75-N75</f>
        <v>112655.15799999959</v>
      </c>
      <c r="P75" s="140">
        <f>F75/N75*100</f>
        <v>105.46482596225108</v>
      </c>
      <c r="Q75" s="138">
        <f>Q68+Q47</f>
        <v>1887355.879</v>
      </c>
      <c r="R75" s="139">
        <f>F75-Q75</f>
        <v>286758.48699999996</v>
      </c>
      <c r="S75" s="140">
        <f>F75/Q75*100</f>
        <v>115.19366274218174</v>
      </c>
      <c r="T75" s="138">
        <v>1887355.8790000002</v>
      </c>
      <c r="U75" s="141">
        <f>T75-Q75</f>
        <v>0</v>
      </c>
      <c r="X75" s="141">
        <f>2708373.649-N75</f>
        <v>646914.44099999988</v>
      </c>
    </row>
    <row r="76" spans="1:24" s="10" customFormat="1" ht="20.25" customHeight="1" x14ac:dyDescent="0.25">
      <c r="A76" s="231" t="s">
        <v>9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</row>
    <row r="77" spans="1:24" s="60" customFormat="1" ht="23.25" x14ac:dyDescent="0.3">
      <c r="A77" s="202">
        <v>1</v>
      </c>
      <c r="B77" s="173" t="s">
        <v>12</v>
      </c>
      <c r="C77" s="165" t="s">
        <v>21</v>
      </c>
      <c r="D77" s="189">
        <f>D78+D79</f>
        <v>70446.198000000004</v>
      </c>
      <c r="E77" s="189">
        <f t="shared" ref="E77:E122" si="50">D77</f>
        <v>70446.198000000004</v>
      </c>
      <c r="F77" s="183">
        <f t="shared" ref="F77:F105" si="51">SUM(G77:L77)</f>
        <v>33853.069000000003</v>
      </c>
      <c r="G77" s="182">
        <f t="shared" ref="G77:N77" si="52">G78+G79</f>
        <v>3860.3049999999998</v>
      </c>
      <c r="H77" s="182">
        <f t="shared" ref="H77:K77" si="53">H78+H79</f>
        <v>8760.2950000000001</v>
      </c>
      <c r="I77" s="182">
        <f t="shared" si="53"/>
        <v>5848.7789999999995</v>
      </c>
      <c r="J77" s="182">
        <f t="shared" si="53"/>
        <v>5691.4560000000001</v>
      </c>
      <c r="K77" s="182">
        <f t="shared" si="53"/>
        <v>5209.8320000000003</v>
      </c>
      <c r="L77" s="182">
        <f t="shared" si="52"/>
        <v>4482.402</v>
      </c>
      <c r="M77" s="186">
        <f>F77/E77*100</f>
        <v>48.055210871706663</v>
      </c>
      <c r="N77" s="184">
        <f t="shared" si="52"/>
        <v>35223.099000000002</v>
      </c>
      <c r="O77" s="185">
        <f t="shared" ref="O77:O91" si="54">F77-N77</f>
        <v>-1370.0299999999988</v>
      </c>
      <c r="P77" s="186">
        <f>F77/N77*100</f>
        <v>96.110421743413326</v>
      </c>
      <c r="Q77" s="183">
        <f t="shared" ref="Q77" si="55">Q78+Q79</f>
        <v>33491.068999999996</v>
      </c>
      <c r="R77" s="185">
        <f t="shared" ref="R77:R91" si="56">F77-Q77</f>
        <v>362.00000000000728</v>
      </c>
      <c r="S77" s="186">
        <f t="shared" ref="S77:S88" si="57">F77/Q77*100</f>
        <v>101.08088517568672</v>
      </c>
    </row>
    <row r="78" spans="1:24" s="63" customFormat="1" ht="39" x14ac:dyDescent="0.3">
      <c r="A78" s="167" t="s">
        <v>125</v>
      </c>
      <c r="B78" s="100" t="s">
        <v>121</v>
      </c>
      <c r="C78" s="17" t="s">
        <v>122</v>
      </c>
      <c r="D78" s="190">
        <v>70446.198000000004</v>
      </c>
      <c r="E78" s="190">
        <v>70446.198000000004</v>
      </c>
      <c r="F78" s="168">
        <f t="shared" si="51"/>
        <v>27848.054000000004</v>
      </c>
      <c r="G78" s="187">
        <v>3552.8009999999999</v>
      </c>
      <c r="H78" s="187">
        <v>6339.2150000000001</v>
      </c>
      <c r="I78" s="187">
        <v>5401.0349999999999</v>
      </c>
      <c r="J78" s="187">
        <v>4981.4170000000004</v>
      </c>
      <c r="K78" s="187">
        <v>4721.1689999999999</v>
      </c>
      <c r="L78" s="187">
        <v>2852.4169999999999</v>
      </c>
      <c r="M78" s="188">
        <f>F78/E78*100</f>
        <v>39.530953820957102</v>
      </c>
      <c r="N78" s="117">
        <v>35223.099000000002</v>
      </c>
      <c r="O78" s="118">
        <f t="shared" si="54"/>
        <v>-7375.0449999999983</v>
      </c>
      <c r="P78" s="188">
        <f>F78/N78*100</f>
        <v>79.061907641914203</v>
      </c>
      <c r="Q78" s="168">
        <v>24826.346999999998</v>
      </c>
      <c r="R78" s="118">
        <f t="shared" si="56"/>
        <v>3021.7070000000058</v>
      </c>
      <c r="S78" s="188">
        <f t="shared" si="57"/>
        <v>112.171371809151</v>
      </c>
    </row>
    <row r="79" spans="1:24" s="63" customFormat="1" ht="39" x14ac:dyDescent="0.3">
      <c r="A79" s="167" t="s">
        <v>126</v>
      </c>
      <c r="B79" s="100" t="s">
        <v>123</v>
      </c>
      <c r="C79" s="17" t="s">
        <v>124</v>
      </c>
      <c r="D79" s="190">
        <v>0</v>
      </c>
      <c r="E79" s="190">
        <v>0</v>
      </c>
      <c r="F79" s="168">
        <f t="shared" si="51"/>
        <v>6005.0150000000003</v>
      </c>
      <c r="G79" s="187">
        <v>307.50400000000002</v>
      </c>
      <c r="H79" s="187">
        <v>2421.08</v>
      </c>
      <c r="I79" s="187">
        <v>447.74400000000003</v>
      </c>
      <c r="J79" s="187">
        <v>710.03899999999999</v>
      </c>
      <c r="K79" s="187">
        <v>488.66300000000001</v>
      </c>
      <c r="L79" s="187">
        <v>1629.9849999999999</v>
      </c>
      <c r="M79" s="188"/>
      <c r="N79" s="117">
        <v>0</v>
      </c>
      <c r="O79" s="118">
        <f t="shared" si="54"/>
        <v>6005.0150000000003</v>
      </c>
      <c r="P79" s="188"/>
      <c r="Q79" s="168">
        <v>8664.7219999999998</v>
      </c>
      <c r="R79" s="118">
        <f t="shared" si="56"/>
        <v>-2659.7069999999994</v>
      </c>
      <c r="S79" s="188">
        <f t="shared" si="57"/>
        <v>69.304185408372021</v>
      </c>
    </row>
    <row r="80" spans="1:24" s="60" customFormat="1" ht="40.5" customHeight="1" x14ac:dyDescent="0.3">
      <c r="A80" s="202">
        <v>2</v>
      </c>
      <c r="B80" s="114" t="s">
        <v>31</v>
      </c>
      <c r="C80" s="165" t="s">
        <v>30</v>
      </c>
      <c r="D80" s="189">
        <v>2267.6</v>
      </c>
      <c r="E80" s="189">
        <v>2267.6</v>
      </c>
      <c r="F80" s="183">
        <f t="shared" si="51"/>
        <v>952.02300000000002</v>
      </c>
      <c r="G80" s="182">
        <v>68.402000000000001</v>
      </c>
      <c r="H80" s="182">
        <v>214.45699999999999</v>
      </c>
      <c r="I80" s="182">
        <v>85.447999999999993</v>
      </c>
      <c r="J80" s="182">
        <v>196.76599999999999</v>
      </c>
      <c r="K80" s="182">
        <v>289.00900000000001</v>
      </c>
      <c r="L80" s="182">
        <v>97.941000000000003</v>
      </c>
      <c r="M80" s="186">
        <f t="shared" ref="M80:M88" si="58">F80/E80*100</f>
        <v>41.983727288763447</v>
      </c>
      <c r="N80" s="184">
        <v>854.46500000000003</v>
      </c>
      <c r="O80" s="185">
        <f t="shared" si="54"/>
        <v>97.557999999999993</v>
      </c>
      <c r="P80" s="186">
        <f t="shared" ref="P80:P88" si="59">F80/N80*100</f>
        <v>111.41743664164126</v>
      </c>
      <c r="Q80" s="183">
        <v>519.255</v>
      </c>
      <c r="R80" s="185">
        <f t="shared" si="56"/>
        <v>432.76800000000003</v>
      </c>
      <c r="S80" s="186">
        <f t="shared" si="57"/>
        <v>183.3440217234307</v>
      </c>
    </row>
    <row r="81" spans="1:20" s="60" customFormat="1" ht="58.5" x14ac:dyDescent="0.3">
      <c r="A81" s="202">
        <f t="shared" ref="A81:A84" si="60">A80+1</f>
        <v>3</v>
      </c>
      <c r="B81" s="114" t="s">
        <v>90</v>
      </c>
      <c r="C81" s="165">
        <v>21110000</v>
      </c>
      <c r="D81" s="189">
        <v>160</v>
      </c>
      <c r="E81" s="189">
        <v>160</v>
      </c>
      <c r="F81" s="183">
        <f t="shared" si="51"/>
        <v>39.936999999999998</v>
      </c>
      <c r="G81" s="182">
        <v>0</v>
      </c>
      <c r="H81" s="182">
        <v>0</v>
      </c>
      <c r="I81" s="182">
        <v>13.731999999999999</v>
      </c>
      <c r="J81" s="182">
        <v>0</v>
      </c>
      <c r="K81" s="182">
        <v>0</v>
      </c>
      <c r="L81" s="182">
        <v>26.204999999999998</v>
      </c>
      <c r="M81" s="186">
        <f t="shared" si="58"/>
        <v>24.960624999999997</v>
      </c>
      <c r="N81" s="184">
        <v>39.936999999999998</v>
      </c>
      <c r="O81" s="185">
        <f t="shared" si="54"/>
        <v>0</v>
      </c>
      <c r="P81" s="186">
        <f t="shared" si="59"/>
        <v>100</v>
      </c>
      <c r="Q81" s="183">
        <v>5.0419999999999998</v>
      </c>
      <c r="R81" s="185">
        <f t="shared" si="56"/>
        <v>34.894999999999996</v>
      </c>
      <c r="S81" s="186">
        <f t="shared" si="57"/>
        <v>792.08647362157865</v>
      </c>
    </row>
    <row r="82" spans="1:20" s="60" customFormat="1" ht="78" x14ac:dyDescent="0.3">
      <c r="A82" s="202">
        <f t="shared" si="60"/>
        <v>4</v>
      </c>
      <c r="B82" s="173" t="s">
        <v>26</v>
      </c>
      <c r="C82" s="165" t="s">
        <v>25</v>
      </c>
      <c r="D82" s="189">
        <v>15.7</v>
      </c>
      <c r="E82" s="189">
        <v>140.69999999999999</v>
      </c>
      <c r="F82" s="183">
        <f t="shared" si="51"/>
        <v>147.15599999999998</v>
      </c>
      <c r="G82" s="182">
        <v>36.722000000000001</v>
      </c>
      <c r="H82" s="182">
        <v>1.931</v>
      </c>
      <c r="I82" s="182">
        <v>93.322999999999993</v>
      </c>
      <c r="J82" s="182">
        <v>2.0529999999999999</v>
      </c>
      <c r="K82" s="182">
        <v>7.9269999999999996</v>
      </c>
      <c r="L82" s="182">
        <v>5.2</v>
      </c>
      <c r="M82" s="186">
        <f t="shared" si="58"/>
        <v>104.58848614072494</v>
      </c>
      <c r="N82" s="184">
        <v>140.69999999999999</v>
      </c>
      <c r="O82" s="185">
        <f t="shared" si="54"/>
        <v>6.4559999999999889</v>
      </c>
      <c r="P82" s="186">
        <f t="shared" si="59"/>
        <v>104.58848614072494</v>
      </c>
      <c r="Q82" s="183">
        <v>8.2059999999999995</v>
      </c>
      <c r="R82" s="185">
        <f t="shared" si="56"/>
        <v>138.94999999999999</v>
      </c>
      <c r="S82" s="186">
        <f t="shared" si="57"/>
        <v>1793.2732147209358</v>
      </c>
    </row>
    <row r="83" spans="1:20" s="60" customFormat="1" ht="78" x14ac:dyDescent="0.3">
      <c r="A83" s="202">
        <f t="shared" si="60"/>
        <v>5</v>
      </c>
      <c r="B83" s="173" t="s">
        <v>69</v>
      </c>
      <c r="C83" s="165" t="s">
        <v>70</v>
      </c>
      <c r="D83" s="189">
        <v>0.4</v>
      </c>
      <c r="E83" s="189">
        <v>0.4</v>
      </c>
      <c r="F83" s="183">
        <f t="shared" si="51"/>
        <v>0.13500000000000001</v>
      </c>
      <c r="G83" s="182">
        <v>3.5000000000000003E-2</v>
      </c>
      <c r="H83" s="182">
        <v>2.4E-2</v>
      </c>
      <c r="I83" s="182">
        <v>1.7000000000000001E-2</v>
      </c>
      <c r="J83" s="182">
        <v>1.4E-2</v>
      </c>
      <c r="K83" s="182">
        <v>2.7E-2</v>
      </c>
      <c r="L83" s="182">
        <v>1.7999999999999999E-2</v>
      </c>
      <c r="M83" s="186">
        <f t="shared" si="58"/>
        <v>33.75</v>
      </c>
      <c r="N83" s="184">
        <v>0.13500000000000001</v>
      </c>
      <c r="O83" s="185">
        <f t="shared" si="54"/>
        <v>0</v>
      </c>
      <c r="P83" s="186">
        <f t="shared" si="59"/>
        <v>100</v>
      </c>
      <c r="Q83" s="183">
        <v>0.22900000000000001</v>
      </c>
      <c r="R83" s="185">
        <f t="shared" si="56"/>
        <v>-9.4E-2</v>
      </c>
      <c r="S83" s="186">
        <f t="shared" si="57"/>
        <v>58.951965065502186</v>
      </c>
    </row>
    <row r="84" spans="1:20" s="30" customFormat="1" ht="36" customHeight="1" x14ac:dyDescent="0.3">
      <c r="A84" s="12">
        <f t="shared" si="60"/>
        <v>6</v>
      </c>
      <c r="B84" s="16" t="s">
        <v>10</v>
      </c>
      <c r="C84" s="9"/>
      <c r="D84" s="172">
        <f>SUM(D85:D88)</f>
        <v>90003.199999999997</v>
      </c>
      <c r="E84" s="172">
        <f>SUM(E85:E88)</f>
        <v>98303.2</v>
      </c>
      <c r="F84" s="171">
        <f>SUM(G84:L84)</f>
        <v>44174.277000000002</v>
      </c>
      <c r="G84" s="172">
        <f t="shared" ref="G84:N84" si="61">SUM(G85:G88)</f>
        <v>8655.4589999999989</v>
      </c>
      <c r="H84" s="172">
        <f t="shared" si="61"/>
        <v>1630.12</v>
      </c>
      <c r="I84" s="172">
        <f t="shared" si="61"/>
        <v>10702.722</v>
      </c>
      <c r="J84" s="172">
        <f t="shared" si="61"/>
        <v>5034.759</v>
      </c>
      <c r="K84" s="172">
        <f t="shared" ref="K84" si="62">SUM(K85:K88)</f>
        <v>5015.4139999999998</v>
      </c>
      <c r="L84" s="172">
        <f t="shared" si="61"/>
        <v>13135.803</v>
      </c>
      <c r="M84" s="90">
        <f t="shared" si="58"/>
        <v>44.9367640117514</v>
      </c>
      <c r="N84" s="172">
        <f t="shared" si="61"/>
        <v>40258.149000000005</v>
      </c>
      <c r="O84" s="172">
        <f t="shared" si="54"/>
        <v>3916.127999999997</v>
      </c>
      <c r="P84" s="90">
        <f t="shared" si="59"/>
        <v>109.72754112465527</v>
      </c>
      <c r="Q84" s="171">
        <f>SUM(Q85:Q89)</f>
        <v>36236.567999999999</v>
      </c>
      <c r="R84" s="89">
        <f t="shared" si="56"/>
        <v>7937.7090000000026</v>
      </c>
      <c r="S84" s="90">
        <f t="shared" si="57"/>
        <v>121.9052450000232</v>
      </c>
      <c r="T84" s="61"/>
    </row>
    <row r="85" spans="1:20" s="63" customFormat="1" ht="58.5" x14ac:dyDescent="0.3">
      <c r="A85" s="14" t="s">
        <v>136</v>
      </c>
      <c r="B85" s="100" t="s">
        <v>146</v>
      </c>
      <c r="C85" s="17" t="s">
        <v>65</v>
      </c>
      <c r="D85" s="190">
        <v>3.2</v>
      </c>
      <c r="E85" s="190">
        <v>3.2</v>
      </c>
      <c r="F85" s="168">
        <f t="shared" si="51"/>
        <v>2.2000000000000002</v>
      </c>
      <c r="G85" s="187">
        <v>0</v>
      </c>
      <c r="H85" s="187">
        <v>0</v>
      </c>
      <c r="I85" s="187">
        <v>0</v>
      </c>
      <c r="J85" s="187">
        <v>0</v>
      </c>
      <c r="K85" s="187">
        <v>0</v>
      </c>
      <c r="L85" s="187">
        <v>2.2000000000000002</v>
      </c>
      <c r="M85" s="188">
        <f t="shared" si="58"/>
        <v>68.75</v>
      </c>
      <c r="N85" s="117">
        <v>2.2000000000000002</v>
      </c>
      <c r="O85" s="118">
        <f t="shared" si="54"/>
        <v>0</v>
      </c>
      <c r="P85" s="188">
        <f t="shared" si="59"/>
        <v>100</v>
      </c>
      <c r="Q85" s="168">
        <v>1</v>
      </c>
      <c r="R85" s="118">
        <f t="shared" si="56"/>
        <v>1.2000000000000002</v>
      </c>
      <c r="S85" s="188">
        <f t="shared" si="57"/>
        <v>220.00000000000003</v>
      </c>
    </row>
    <row r="86" spans="1:20" s="63" customFormat="1" ht="48.75" customHeight="1" x14ac:dyDescent="0.3">
      <c r="A86" s="14" t="s">
        <v>137</v>
      </c>
      <c r="B86" s="100" t="s">
        <v>45</v>
      </c>
      <c r="C86" s="17" t="s">
        <v>44</v>
      </c>
      <c r="D86" s="190">
        <v>0</v>
      </c>
      <c r="E86" s="190">
        <v>8300</v>
      </c>
      <c r="F86" s="168">
        <f t="shared" si="51"/>
        <v>10734.233</v>
      </c>
      <c r="G86" s="187">
        <v>6037.933</v>
      </c>
      <c r="H86" s="187">
        <v>25.300999999999998</v>
      </c>
      <c r="I86" s="187">
        <v>2133.0540000000001</v>
      </c>
      <c r="J86" s="187">
        <v>152.38399999999999</v>
      </c>
      <c r="K86" s="187">
        <v>501.82100000000003</v>
      </c>
      <c r="L86" s="187">
        <v>1883.74</v>
      </c>
      <c r="M86" s="188">
        <f t="shared" si="58"/>
        <v>129.32810843373494</v>
      </c>
      <c r="N86" s="117">
        <v>8300</v>
      </c>
      <c r="O86" s="118">
        <f t="shared" si="54"/>
        <v>2434.2330000000002</v>
      </c>
      <c r="P86" s="188">
        <f t="shared" si="59"/>
        <v>129.32810843373494</v>
      </c>
      <c r="Q86" s="168">
        <v>5322.7370000000001</v>
      </c>
      <c r="R86" s="118">
        <f t="shared" si="56"/>
        <v>5411.4960000000001</v>
      </c>
      <c r="S86" s="188">
        <f t="shared" si="57"/>
        <v>201.66754434795484</v>
      </c>
    </row>
    <row r="87" spans="1:20" s="63" customFormat="1" ht="52.5" customHeight="1" x14ac:dyDescent="0.3">
      <c r="A87" s="14" t="s">
        <v>138</v>
      </c>
      <c r="B87" s="100" t="s">
        <v>36</v>
      </c>
      <c r="C87" s="17" t="s">
        <v>22</v>
      </c>
      <c r="D87" s="190">
        <v>20000</v>
      </c>
      <c r="E87" s="190">
        <v>20000</v>
      </c>
      <c r="F87" s="168">
        <f t="shared" si="51"/>
        <v>11648.587</v>
      </c>
      <c r="G87" s="187">
        <v>0</v>
      </c>
      <c r="H87" s="187">
        <v>0</v>
      </c>
      <c r="I87" s="187">
        <v>2908.8789999999999</v>
      </c>
      <c r="J87" s="187">
        <v>1291.645</v>
      </c>
      <c r="K87" s="187">
        <v>0</v>
      </c>
      <c r="L87" s="187">
        <v>7448.0630000000001</v>
      </c>
      <c r="M87" s="188">
        <f t="shared" si="58"/>
        <v>58.242934999999996</v>
      </c>
      <c r="N87" s="117">
        <v>11648.52</v>
      </c>
      <c r="O87" s="118">
        <f t="shared" si="54"/>
        <v>6.6999999999097781E-2</v>
      </c>
      <c r="P87" s="188">
        <f t="shared" si="59"/>
        <v>100.00057518036624</v>
      </c>
      <c r="Q87" s="168">
        <v>2728.5770000000002</v>
      </c>
      <c r="R87" s="118">
        <f t="shared" si="56"/>
        <v>8920.0099999999984</v>
      </c>
      <c r="S87" s="188">
        <f t="shared" si="57"/>
        <v>426.9106937425625</v>
      </c>
    </row>
    <row r="88" spans="1:20" s="62" customFormat="1" ht="39.75" customHeight="1" x14ac:dyDescent="0.3">
      <c r="A88" s="14" t="s">
        <v>139</v>
      </c>
      <c r="B88" s="42" t="s">
        <v>71</v>
      </c>
      <c r="C88" s="17" t="s">
        <v>42</v>
      </c>
      <c r="D88" s="190">
        <v>70000</v>
      </c>
      <c r="E88" s="190">
        <v>70000</v>
      </c>
      <c r="F88" s="121">
        <f t="shared" si="51"/>
        <v>21789.256999999998</v>
      </c>
      <c r="G88" s="190">
        <v>2617.5259999999998</v>
      </c>
      <c r="H88" s="190">
        <v>1604.819</v>
      </c>
      <c r="I88" s="190">
        <v>5660.7889999999998</v>
      </c>
      <c r="J88" s="190">
        <v>3590.73</v>
      </c>
      <c r="K88" s="190">
        <v>4513.5929999999998</v>
      </c>
      <c r="L88" s="190">
        <v>3801.8</v>
      </c>
      <c r="M88" s="188">
        <f t="shared" si="58"/>
        <v>31.127509999999997</v>
      </c>
      <c r="N88" s="190">
        <v>20307.429</v>
      </c>
      <c r="O88" s="118">
        <f t="shared" si="54"/>
        <v>1481.8279999999977</v>
      </c>
      <c r="P88" s="188">
        <f t="shared" si="59"/>
        <v>107.29697491494368</v>
      </c>
      <c r="Q88" s="121">
        <v>27984.254000000001</v>
      </c>
      <c r="R88" s="118">
        <f t="shared" si="56"/>
        <v>-6194.997000000003</v>
      </c>
      <c r="S88" s="188">
        <f t="shared" si="57"/>
        <v>77.862561567658716</v>
      </c>
    </row>
    <row r="89" spans="1:20" s="62" customFormat="1" ht="60" x14ac:dyDescent="0.3">
      <c r="A89" s="14" t="s">
        <v>192</v>
      </c>
      <c r="B89" s="42" t="s">
        <v>189</v>
      </c>
      <c r="C89" s="201" t="s">
        <v>119</v>
      </c>
      <c r="D89" s="190">
        <v>0</v>
      </c>
      <c r="E89" s="190">
        <v>0</v>
      </c>
      <c r="F89" s="121">
        <f t="shared" si="51"/>
        <v>0</v>
      </c>
      <c r="G89" s="190">
        <v>0</v>
      </c>
      <c r="H89" s="190">
        <v>0</v>
      </c>
      <c r="I89" s="190">
        <v>0</v>
      </c>
      <c r="J89" s="190">
        <v>0</v>
      </c>
      <c r="K89" s="190">
        <v>0</v>
      </c>
      <c r="L89" s="190">
        <v>0</v>
      </c>
      <c r="M89" s="188"/>
      <c r="N89" s="190">
        <v>0</v>
      </c>
      <c r="O89" s="118">
        <f t="shared" si="54"/>
        <v>0</v>
      </c>
      <c r="P89" s="188"/>
      <c r="Q89" s="121">
        <v>200</v>
      </c>
      <c r="R89" s="118">
        <f t="shared" si="56"/>
        <v>-200</v>
      </c>
      <c r="S89" s="188"/>
    </row>
    <row r="90" spans="1:20" s="60" customFormat="1" ht="39" x14ac:dyDescent="0.3">
      <c r="A90" s="202">
        <v>7</v>
      </c>
      <c r="B90" s="114" t="s">
        <v>11</v>
      </c>
      <c r="C90" s="165" t="s">
        <v>23</v>
      </c>
      <c r="D90" s="189">
        <v>6000</v>
      </c>
      <c r="E90" s="189">
        <v>6000</v>
      </c>
      <c r="F90" s="183">
        <f t="shared" si="51"/>
        <v>3642.0360000000001</v>
      </c>
      <c r="G90" s="182">
        <v>431.85300000000001</v>
      </c>
      <c r="H90" s="182">
        <v>403.06599999999997</v>
      </c>
      <c r="I90" s="182">
        <v>337.41399999999999</v>
      </c>
      <c r="J90" s="182">
        <v>348.38400000000001</v>
      </c>
      <c r="K90" s="182">
        <v>273.77199999999999</v>
      </c>
      <c r="L90" s="182">
        <v>1847.547</v>
      </c>
      <c r="M90" s="186">
        <f>F90/E90*100</f>
        <v>60.700600000000001</v>
      </c>
      <c r="N90" s="184">
        <v>3576.8</v>
      </c>
      <c r="O90" s="185">
        <f t="shared" si="54"/>
        <v>65.235999999999876</v>
      </c>
      <c r="P90" s="186">
        <f>F90/N90*100</f>
        <v>101.82386490717961</v>
      </c>
      <c r="Q90" s="183">
        <v>3196.875</v>
      </c>
      <c r="R90" s="185">
        <f t="shared" si="56"/>
        <v>445.16100000000006</v>
      </c>
      <c r="S90" s="186">
        <f>F90/Q90*100</f>
        <v>113.92487976539589</v>
      </c>
    </row>
    <row r="91" spans="1:20" s="51" customFormat="1" ht="33.75" customHeight="1" x14ac:dyDescent="0.3">
      <c r="A91" s="49"/>
      <c r="B91" s="83" t="s">
        <v>159</v>
      </c>
      <c r="C91" s="50"/>
      <c r="D91" s="171">
        <f>D77+D80+D82+D83+D85+D86+D87+D88+D90+D81</f>
        <v>168893.098</v>
      </c>
      <c r="E91" s="171">
        <f>E77+E80+E82+E83+E85+E86+E87+E88+E90+E81</f>
        <v>177318.098</v>
      </c>
      <c r="F91" s="171">
        <f t="shared" si="51"/>
        <v>82808.633000000002</v>
      </c>
      <c r="G91" s="171">
        <f t="shared" ref="G91:N91" si="63">G77+G80+G82+G83+G85+G86+G87+G88+G90+G81</f>
        <v>13052.776</v>
      </c>
      <c r="H91" s="171">
        <f t="shared" si="63"/>
        <v>11009.893</v>
      </c>
      <c r="I91" s="171">
        <f t="shared" si="63"/>
        <v>17081.435000000001</v>
      </c>
      <c r="J91" s="171">
        <f t="shared" si="63"/>
        <v>11273.431999999999</v>
      </c>
      <c r="K91" s="171">
        <f t="shared" ref="K91" si="64">K77+K80+K82+K83+K85+K86+K87+K88+K90+K81</f>
        <v>10795.981</v>
      </c>
      <c r="L91" s="171">
        <f t="shared" si="63"/>
        <v>19595.115999999998</v>
      </c>
      <c r="M91" s="85">
        <f>F91/E91*100</f>
        <v>46.700609770808619</v>
      </c>
      <c r="N91" s="171">
        <f t="shared" si="63"/>
        <v>80093.285000000003</v>
      </c>
      <c r="O91" s="84">
        <f t="shared" si="54"/>
        <v>2715.3479999999981</v>
      </c>
      <c r="P91" s="85">
        <f>F91/N91*100</f>
        <v>103.39023177785754</v>
      </c>
      <c r="Q91" s="171">
        <f>Q77+Q80+Q82+Q83+Q85+Q86+Q87+Q88+Q90+Q81</f>
        <v>73257.243999999992</v>
      </c>
      <c r="R91" s="84">
        <f t="shared" si="56"/>
        <v>9551.3890000000101</v>
      </c>
      <c r="S91" s="85">
        <f>F91/Q91*100</f>
        <v>113.03814951051123</v>
      </c>
    </row>
    <row r="92" spans="1:20" s="66" customFormat="1" ht="22.5" hidden="1" x14ac:dyDescent="0.3">
      <c r="A92" s="65"/>
      <c r="B92" s="88"/>
      <c r="C92" s="54"/>
      <c r="D92" s="172"/>
      <c r="E92" s="172"/>
      <c r="F92" s="171"/>
      <c r="G92" s="172"/>
      <c r="H92" s="172"/>
      <c r="I92" s="172"/>
      <c r="J92" s="172"/>
      <c r="K92" s="172"/>
      <c r="L92" s="172"/>
      <c r="M92" s="90"/>
      <c r="N92" s="172"/>
      <c r="O92" s="89"/>
      <c r="P92" s="90"/>
      <c r="Q92" s="171"/>
      <c r="R92" s="89"/>
      <c r="S92" s="90"/>
    </row>
    <row r="93" spans="1:20" s="66" customFormat="1" ht="67.5" hidden="1" x14ac:dyDescent="0.3">
      <c r="A93" s="65"/>
      <c r="B93" s="88" t="s">
        <v>67</v>
      </c>
      <c r="C93" s="54"/>
      <c r="D93" s="172">
        <f>D91-D77</f>
        <v>98446.9</v>
      </c>
      <c r="E93" s="172">
        <f>E91-E77</f>
        <v>106871.9</v>
      </c>
      <c r="F93" s="171">
        <f>SUM(G93:L93)</f>
        <v>48955.563999999998</v>
      </c>
      <c r="G93" s="172">
        <f t="shared" ref="G93:N93" si="65">G91-G77</f>
        <v>9192.4709999999995</v>
      </c>
      <c r="H93" s="172">
        <f t="shared" si="65"/>
        <v>2249.598</v>
      </c>
      <c r="I93" s="172">
        <f t="shared" si="65"/>
        <v>11232.656000000003</v>
      </c>
      <c r="J93" s="172">
        <f t="shared" si="65"/>
        <v>5581.9759999999987</v>
      </c>
      <c r="K93" s="172">
        <f t="shared" ref="K93" si="66">K91-K77</f>
        <v>5586.1489999999994</v>
      </c>
      <c r="L93" s="172">
        <f t="shared" si="65"/>
        <v>15112.713999999998</v>
      </c>
      <c r="M93" s="90">
        <f>F93/E93*100</f>
        <v>45.807704363822481</v>
      </c>
      <c r="N93" s="172">
        <f t="shared" si="65"/>
        <v>44870.186000000002</v>
      </c>
      <c r="O93" s="89">
        <f>F93-N93</f>
        <v>4085.377999999997</v>
      </c>
      <c r="P93" s="90">
        <f>F93/N93*100</f>
        <v>109.10488313999858</v>
      </c>
      <c r="Q93" s="171">
        <f>Q91-Q77</f>
        <v>39766.174999999996</v>
      </c>
      <c r="R93" s="89">
        <f>F93-Q93</f>
        <v>9189.3890000000029</v>
      </c>
      <c r="S93" s="90">
        <f>F93/Q93*100</f>
        <v>123.10855645532919</v>
      </c>
    </row>
    <row r="94" spans="1:20" s="66" customFormat="1" ht="22.5" x14ac:dyDescent="0.3">
      <c r="A94" s="65"/>
      <c r="B94" s="133"/>
      <c r="C94" s="54"/>
      <c r="D94" s="172"/>
      <c r="E94" s="172"/>
      <c r="F94" s="171"/>
      <c r="G94" s="172"/>
      <c r="H94" s="172"/>
      <c r="I94" s="172"/>
      <c r="J94" s="172"/>
      <c r="K94" s="172"/>
      <c r="L94" s="172"/>
      <c r="M94" s="90"/>
      <c r="N94" s="172"/>
      <c r="O94" s="89"/>
      <c r="P94" s="90"/>
      <c r="Q94" s="171"/>
      <c r="R94" s="89"/>
      <c r="S94" s="90"/>
    </row>
    <row r="95" spans="1:20" s="25" customFormat="1" ht="117" x14ac:dyDescent="0.25">
      <c r="A95" s="202">
        <v>1</v>
      </c>
      <c r="B95" s="173" t="s">
        <v>135</v>
      </c>
      <c r="C95" s="165" t="s">
        <v>75</v>
      </c>
      <c r="D95" s="189">
        <v>120420</v>
      </c>
      <c r="E95" s="189">
        <v>120420</v>
      </c>
      <c r="F95" s="192">
        <f t="shared" si="51"/>
        <v>3858.3</v>
      </c>
      <c r="G95" s="189">
        <v>0</v>
      </c>
      <c r="H95" s="189">
        <v>0</v>
      </c>
      <c r="I95" s="189">
        <v>1530.3</v>
      </c>
      <c r="J95" s="189">
        <v>0</v>
      </c>
      <c r="K95" s="189">
        <v>2328</v>
      </c>
      <c r="L95" s="189">
        <v>0</v>
      </c>
      <c r="M95" s="169">
        <f>F95/E95*100</f>
        <v>3.2040358744394619</v>
      </c>
      <c r="N95" s="189">
        <v>120420</v>
      </c>
      <c r="O95" s="185">
        <f>F95-N95</f>
        <v>-116561.7</v>
      </c>
      <c r="P95" s="169"/>
      <c r="Q95" s="192">
        <v>32219.185000000001</v>
      </c>
      <c r="R95" s="185">
        <f>F95-Q95</f>
        <v>-28360.885000000002</v>
      </c>
      <c r="S95" s="186">
        <f>F95/Q95*100</f>
        <v>11.975163245128639</v>
      </c>
    </row>
    <row r="96" spans="1:20" s="166" customFormat="1" ht="117" x14ac:dyDescent="0.25">
      <c r="A96" s="202">
        <f>A95+1</f>
        <v>2</v>
      </c>
      <c r="B96" s="173" t="s">
        <v>190</v>
      </c>
      <c r="C96" s="165" t="s">
        <v>191</v>
      </c>
      <c r="D96" s="189">
        <v>0</v>
      </c>
      <c r="E96" s="189">
        <v>0</v>
      </c>
      <c r="F96" s="192">
        <f t="shared" si="51"/>
        <v>0</v>
      </c>
      <c r="G96" s="189">
        <v>0</v>
      </c>
      <c r="H96" s="189">
        <v>0</v>
      </c>
      <c r="I96" s="189">
        <v>0</v>
      </c>
      <c r="J96" s="189">
        <v>0</v>
      </c>
      <c r="K96" s="189">
        <v>0</v>
      </c>
      <c r="L96" s="189">
        <v>0</v>
      </c>
      <c r="M96" s="169"/>
      <c r="N96" s="189">
        <v>0</v>
      </c>
      <c r="O96" s="185">
        <f>F96-N96</f>
        <v>0</v>
      </c>
      <c r="P96" s="169"/>
      <c r="Q96" s="192">
        <v>18825.361000000001</v>
      </c>
      <c r="R96" s="185">
        <f>F96-Q96</f>
        <v>-18825.361000000001</v>
      </c>
      <c r="S96" s="186"/>
    </row>
    <row r="97" spans="1:21" s="166" customFormat="1" ht="78" x14ac:dyDescent="0.25">
      <c r="A97" s="202">
        <f>A96+1</f>
        <v>3</v>
      </c>
      <c r="B97" s="194" t="s">
        <v>172</v>
      </c>
      <c r="C97" s="165" t="s">
        <v>119</v>
      </c>
      <c r="D97" s="189">
        <v>0</v>
      </c>
      <c r="E97" s="189">
        <v>3000</v>
      </c>
      <c r="F97" s="192">
        <f t="shared" si="51"/>
        <v>0</v>
      </c>
      <c r="G97" s="189">
        <v>0</v>
      </c>
      <c r="H97" s="189">
        <v>0</v>
      </c>
      <c r="I97" s="189">
        <v>0</v>
      </c>
      <c r="J97" s="189">
        <v>0</v>
      </c>
      <c r="K97" s="189">
        <v>0</v>
      </c>
      <c r="L97" s="189">
        <v>0</v>
      </c>
      <c r="M97" s="169"/>
      <c r="N97" s="189">
        <v>3000</v>
      </c>
      <c r="O97" s="185">
        <f>F97-N97</f>
        <v>-3000</v>
      </c>
      <c r="P97" s="169"/>
      <c r="Q97" s="192">
        <v>0</v>
      </c>
      <c r="R97" s="185">
        <f>F97-Q97</f>
        <v>0</v>
      </c>
      <c r="S97" s="186"/>
    </row>
    <row r="98" spans="1:21" s="34" customFormat="1" ht="22.5" x14ac:dyDescent="0.25">
      <c r="A98" s="33"/>
      <c r="B98" s="91"/>
      <c r="C98" s="24"/>
      <c r="D98" s="172"/>
      <c r="E98" s="172"/>
      <c r="F98" s="171"/>
      <c r="G98" s="172"/>
      <c r="H98" s="172"/>
      <c r="I98" s="172"/>
      <c r="J98" s="172"/>
      <c r="K98" s="172"/>
      <c r="L98" s="172"/>
      <c r="M98" s="90"/>
      <c r="N98" s="172"/>
      <c r="O98" s="89"/>
      <c r="P98" s="90"/>
      <c r="Q98" s="171"/>
      <c r="R98" s="89"/>
      <c r="S98" s="90"/>
    </row>
    <row r="99" spans="1:21" s="47" customFormat="1" ht="41.25" customHeight="1" x14ac:dyDescent="0.3">
      <c r="A99" s="44"/>
      <c r="B99" s="48" t="s">
        <v>28</v>
      </c>
      <c r="C99" s="50"/>
      <c r="D99" s="171">
        <f>D100+D101</f>
        <v>120420</v>
      </c>
      <c r="E99" s="171">
        <f>E100+E101</f>
        <v>123420</v>
      </c>
      <c r="F99" s="171">
        <f t="shared" si="51"/>
        <v>3858.3</v>
      </c>
      <c r="G99" s="171">
        <f t="shared" ref="G99:N99" si="67">G100+G101</f>
        <v>0</v>
      </c>
      <c r="H99" s="171">
        <f t="shared" si="67"/>
        <v>0</v>
      </c>
      <c r="I99" s="171">
        <f t="shared" si="67"/>
        <v>1530.3</v>
      </c>
      <c r="J99" s="171">
        <f t="shared" si="67"/>
        <v>0</v>
      </c>
      <c r="K99" s="171">
        <f t="shared" ref="K99" si="68">K100+K101</f>
        <v>2328</v>
      </c>
      <c r="L99" s="171">
        <f t="shared" si="67"/>
        <v>0</v>
      </c>
      <c r="M99" s="85">
        <f>F99/E99*100</f>
        <v>3.1261545940690327</v>
      </c>
      <c r="N99" s="171">
        <f t="shared" si="67"/>
        <v>123420</v>
      </c>
      <c r="O99" s="84">
        <f>F99-N99</f>
        <v>-119561.7</v>
      </c>
      <c r="P99" s="85">
        <f>F99/N99*100</f>
        <v>3.1261545940690327</v>
      </c>
      <c r="Q99" s="171">
        <f t="shared" ref="Q99" si="69">Q100+Q101</f>
        <v>51244.546000000002</v>
      </c>
      <c r="R99" s="84">
        <f>F99-Q99</f>
        <v>-47386.245999999999</v>
      </c>
      <c r="S99" s="85"/>
    </row>
    <row r="100" spans="1:21" s="8" customFormat="1" ht="23.25" hidden="1" x14ac:dyDescent="0.25">
      <c r="A100" s="14"/>
      <c r="B100" s="17" t="s">
        <v>109</v>
      </c>
      <c r="C100" s="17"/>
      <c r="D100" s="190">
        <f>D95</f>
        <v>120420</v>
      </c>
      <c r="E100" s="190">
        <f>E95</f>
        <v>120420</v>
      </c>
      <c r="F100" s="121">
        <f t="shared" si="51"/>
        <v>3858.3</v>
      </c>
      <c r="G100" s="190">
        <f t="shared" ref="G100:N100" si="70">G95</f>
        <v>0</v>
      </c>
      <c r="H100" s="190">
        <f t="shared" si="70"/>
        <v>0</v>
      </c>
      <c r="I100" s="190">
        <f t="shared" si="70"/>
        <v>1530.3</v>
      </c>
      <c r="J100" s="190">
        <f t="shared" si="70"/>
        <v>0</v>
      </c>
      <c r="K100" s="190">
        <f t="shared" ref="K100" si="71">K95</f>
        <v>2328</v>
      </c>
      <c r="L100" s="190">
        <f t="shared" si="70"/>
        <v>0</v>
      </c>
      <c r="M100" s="188">
        <f>F100/E100*100</f>
        <v>3.2040358744394619</v>
      </c>
      <c r="N100" s="190">
        <f t="shared" si="70"/>
        <v>120420</v>
      </c>
      <c r="O100" s="118">
        <f>F100-N100</f>
        <v>-116561.7</v>
      </c>
      <c r="P100" s="188"/>
      <c r="Q100" s="121">
        <f>Q95</f>
        <v>32219.185000000001</v>
      </c>
      <c r="R100" s="118">
        <f>F100-Q100</f>
        <v>-28360.885000000002</v>
      </c>
      <c r="S100" s="188"/>
    </row>
    <row r="101" spans="1:21" s="8" customFormat="1" ht="23.25" hidden="1" x14ac:dyDescent="0.25">
      <c r="A101" s="14"/>
      <c r="B101" s="163" t="s">
        <v>108</v>
      </c>
      <c r="C101" s="17"/>
      <c r="D101" s="190">
        <f>D97</f>
        <v>0</v>
      </c>
      <c r="E101" s="190">
        <f>E97</f>
        <v>3000</v>
      </c>
      <c r="F101" s="121">
        <f t="shared" si="51"/>
        <v>0</v>
      </c>
      <c r="G101" s="190">
        <f t="shared" ref="G101:L101" si="72">G97</f>
        <v>0</v>
      </c>
      <c r="H101" s="190">
        <f t="shared" ref="H101:K101" si="73">H97</f>
        <v>0</v>
      </c>
      <c r="I101" s="190">
        <f t="shared" si="73"/>
        <v>0</v>
      </c>
      <c r="J101" s="190">
        <f t="shared" si="73"/>
        <v>0</v>
      </c>
      <c r="K101" s="190">
        <f t="shared" si="73"/>
        <v>0</v>
      </c>
      <c r="L101" s="190">
        <f t="shared" si="72"/>
        <v>0</v>
      </c>
      <c r="M101" s="188"/>
      <c r="N101" s="190">
        <f>N97</f>
        <v>3000</v>
      </c>
      <c r="O101" s="118">
        <f>F101-N101</f>
        <v>-3000</v>
      </c>
      <c r="P101" s="188"/>
      <c r="Q101" s="121">
        <f>Q96+Q97+Q89</f>
        <v>19025.361000000001</v>
      </c>
      <c r="R101" s="118">
        <f>F101-Q101</f>
        <v>-19025.361000000001</v>
      </c>
      <c r="S101" s="188"/>
    </row>
    <row r="102" spans="1:21" s="10" customFormat="1" ht="23.25" x14ac:dyDescent="0.25">
      <c r="A102" s="202"/>
      <c r="B102" s="39"/>
      <c r="C102" s="165"/>
      <c r="D102" s="189"/>
      <c r="E102" s="189"/>
      <c r="F102" s="122"/>
      <c r="G102" s="193"/>
      <c r="H102" s="193"/>
      <c r="I102" s="193"/>
      <c r="J102" s="193"/>
      <c r="K102" s="193"/>
      <c r="L102" s="193"/>
      <c r="M102" s="186"/>
      <c r="N102" s="189"/>
      <c r="O102" s="185"/>
      <c r="P102" s="186"/>
      <c r="Q102" s="122"/>
      <c r="R102" s="185"/>
      <c r="S102" s="186"/>
    </row>
    <row r="103" spans="1:21" s="142" customFormat="1" ht="46.5" x14ac:dyDescent="0.3">
      <c r="A103" s="135"/>
      <c r="B103" s="136" t="s">
        <v>41</v>
      </c>
      <c r="C103" s="143"/>
      <c r="D103" s="138">
        <f>D91+D99</f>
        <v>289313.098</v>
      </c>
      <c r="E103" s="138">
        <f>E91+E99</f>
        <v>300738.098</v>
      </c>
      <c r="F103" s="138">
        <f t="shared" si="51"/>
        <v>86666.933000000005</v>
      </c>
      <c r="G103" s="138">
        <f t="shared" ref="G103:N103" si="74">G91+G99</f>
        <v>13052.776</v>
      </c>
      <c r="H103" s="138">
        <f t="shared" si="74"/>
        <v>11009.893</v>
      </c>
      <c r="I103" s="138">
        <f t="shared" si="74"/>
        <v>18611.735000000001</v>
      </c>
      <c r="J103" s="138">
        <f t="shared" si="74"/>
        <v>11273.431999999999</v>
      </c>
      <c r="K103" s="138">
        <f t="shared" ref="K103" si="75">K91+K99</f>
        <v>13123.981</v>
      </c>
      <c r="L103" s="138">
        <f t="shared" si="74"/>
        <v>19595.115999999998</v>
      </c>
      <c r="M103" s="140">
        <f>F103/E103*100</f>
        <v>28.818075786327547</v>
      </c>
      <c r="N103" s="138">
        <f t="shared" si="74"/>
        <v>203513.285</v>
      </c>
      <c r="O103" s="139">
        <f>F103-N103</f>
        <v>-116846.352</v>
      </c>
      <c r="P103" s="140">
        <f>F103/N103*100</f>
        <v>42.585393381075839</v>
      </c>
      <c r="Q103" s="138">
        <f>Q91+Q99</f>
        <v>124501.79</v>
      </c>
      <c r="R103" s="139">
        <f>F103-Q103</f>
        <v>-37834.856999999989</v>
      </c>
      <c r="S103" s="140">
        <f>F103/Q103*100</f>
        <v>69.610993544751452</v>
      </c>
      <c r="T103" s="142">
        <v>124501.79</v>
      </c>
      <c r="U103" s="141">
        <f>T103-Q103</f>
        <v>0</v>
      </c>
    </row>
    <row r="104" spans="1:21" s="56" customFormat="1" ht="22.5" hidden="1" x14ac:dyDescent="0.3">
      <c r="A104" s="52"/>
      <c r="B104" s="53"/>
      <c r="C104" s="54"/>
      <c r="D104" s="172"/>
      <c r="E104" s="172"/>
      <c r="F104" s="171"/>
      <c r="G104" s="172"/>
      <c r="H104" s="172"/>
      <c r="I104" s="172"/>
      <c r="J104" s="172"/>
      <c r="K104" s="172"/>
      <c r="L104" s="172"/>
      <c r="M104" s="90"/>
      <c r="N104" s="172"/>
      <c r="O104" s="89"/>
      <c r="P104" s="90"/>
      <c r="Q104" s="171"/>
      <c r="R104" s="89"/>
      <c r="S104" s="90"/>
    </row>
    <row r="105" spans="1:21" s="150" customFormat="1" ht="93" hidden="1" x14ac:dyDescent="0.3">
      <c r="A105" s="144"/>
      <c r="B105" s="145" t="s">
        <v>66</v>
      </c>
      <c r="C105" s="146"/>
      <c r="D105" s="147">
        <f>D103-D77</f>
        <v>218866.9</v>
      </c>
      <c r="E105" s="147">
        <f>E103-E77</f>
        <v>230291.9</v>
      </c>
      <c r="F105" s="138">
        <f t="shared" si="51"/>
        <v>52813.864000000001</v>
      </c>
      <c r="G105" s="147">
        <f t="shared" ref="G105:N105" si="76">G103-G77</f>
        <v>9192.4709999999995</v>
      </c>
      <c r="H105" s="147">
        <f t="shared" si="76"/>
        <v>2249.598</v>
      </c>
      <c r="I105" s="147">
        <f t="shared" si="76"/>
        <v>12762.956000000002</v>
      </c>
      <c r="J105" s="147">
        <f t="shared" si="76"/>
        <v>5581.9759999999987</v>
      </c>
      <c r="K105" s="147">
        <f t="shared" ref="K105" si="77">K103-K77</f>
        <v>7914.1489999999994</v>
      </c>
      <c r="L105" s="147">
        <f t="shared" si="76"/>
        <v>15112.713999999998</v>
      </c>
      <c r="M105" s="149">
        <f>F105/E105*100</f>
        <v>22.933444033420194</v>
      </c>
      <c r="N105" s="147">
        <f t="shared" si="76"/>
        <v>168290.18599999999</v>
      </c>
      <c r="O105" s="148">
        <f>F105-N105</f>
        <v>-115476.32199999999</v>
      </c>
      <c r="P105" s="149">
        <f>F105/N105*100</f>
        <v>31.38261669043494</v>
      </c>
      <c r="Q105" s="138">
        <f>Q103-Q77</f>
        <v>91010.72099999999</v>
      </c>
      <c r="R105" s="148">
        <f>F105-Q105</f>
        <v>-38196.856999999989</v>
      </c>
      <c r="S105" s="149">
        <f>F105/Q105*100</f>
        <v>58.030376443232448</v>
      </c>
    </row>
    <row r="106" spans="1:21" s="13" customFormat="1" ht="20.25" customHeight="1" x14ac:dyDescent="0.25">
      <c r="A106" s="232" t="s">
        <v>40</v>
      </c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</row>
    <row r="107" spans="1:21" s="142" customFormat="1" ht="36" customHeight="1" x14ac:dyDescent="0.3">
      <c r="A107" s="151"/>
      <c r="B107" s="136" t="s">
        <v>162</v>
      </c>
      <c r="C107" s="143"/>
      <c r="D107" s="138">
        <f>D47+D91</f>
        <v>3920514.4869999997</v>
      </c>
      <c r="E107" s="138">
        <f>E47+E91</f>
        <v>3928939.4869999997</v>
      </c>
      <c r="F107" s="138">
        <f t="shared" ref="F107:F122" si="78">SUM(G107:L107)</f>
        <v>1815728.7789999999</v>
      </c>
      <c r="G107" s="138">
        <f t="shared" ref="G107:N107" si="79">G47+G91</f>
        <v>250348.01899999997</v>
      </c>
      <c r="H107" s="138">
        <f t="shared" si="79"/>
        <v>316324.92599999998</v>
      </c>
      <c r="I107" s="138">
        <f t="shared" si="79"/>
        <v>293871.63500000001</v>
      </c>
      <c r="J107" s="138">
        <f t="shared" si="79"/>
        <v>321819.16699999996</v>
      </c>
      <c r="K107" s="138">
        <f t="shared" ref="K107" si="80">K47+K91</f>
        <v>319289.49</v>
      </c>
      <c r="L107" s="138">
        <f t="shared" si="79"/>
        <v>314075.54199999996</v>
      </c>
      <c r="M107" s="140">
        <f>F107/E107*100</f>
        <v>46.214221038726834</v>
      </c>
      <c r="N107" s="138">
        <f t="shared" si="79"/>
        <v>1699437.9530000002</v>
      </c>
      <c r="O107" s="139">
        <f>F107-N107</f>
        <v>116290.82599999965</v>
      </c>
      <c r="P107" s="140">
        <f>F107/N107*100</f>
        <v>106.84289919468451</v>
      </c>
      <c r="Q107" s="138">
        <f>Q47+Q91</f>
        <v>1527981.5279999999</v>
      </c>
      <c r="R107" s="139">
        <f>F107-Q107</f>
        <v>287747.25099999993</v>
      </c>
      <c r="S107" s="140">
        <f>F107/Q107*100</f>
        <v>118.83185403272753</v>
      </c>
    </row>
    <row r="108" spans="1:21" s="150" customFormat="1" ht="23.25" hidden="1" x14ac:dyDescent="0.3">
      <c r="A108" s="152"/>
      <c r="B108" s="153"/>
      <c r="C108" s="146"/>
      <c r="D108" s="147"/>
      <c r="E108" s="147"/>
      <c r="F108" s="138"/>
      <c r="G108" s="147"/>
      <c r="H108" s="147"/>
      <c r="I108" s="147"/>
      <c r="J108" s="147"/>
      <c r="K108" s="147"/>
      <c r="L108" s="147"/>
      <c r="M108" s="149"/>
      <c r="N108" s="147"/>
      <c r="O108" s="148"/>
      <c r="P108" s="149"/>
      <c r="Q108" s="138"/>
      <c r="R108" s="148"/>
      <c r="S108" s="149"/>
    </row>
    <row r="109" spans="1:21" s="150" customFormat="1" ht="69.75" hidden="1" x14ac:dyDescent="0.3">
      <c r="A109" s="152"/>
      <c r="B109" s="145" t="s">
        <v>160</v>
      </c>
      <c r="C109" s="146"/>
      <c r="D109" s="147">
        <f>D47+D93</f>
        <v>3850068.2889999994</v>
      </c>
      <c r="E109" s="147">
        <f>E47+E93</f>
        <v>3858493.2889999994</v>
      </c>
      <c r="F109" s="138">
        <f t="shared" si="78"/>
        <v>1781875.7099999997</v>
      </c>
      <c r="G109" s="147">
        <f t="shared" ref="G109:N109" si="81">G47+G93</f>
        <v>246487.71399999995</v>
      </c>
      <c r="H109" s="147">
        <f t="shared" si="81"/>
        <v>307564.63099999999</v>
      </c>
      <c r="I109" s="147">
        <f t="shared" si="81"/>
        <v>288022.85600000003</v>
      </c>
      <c r="J109" s="147">
        <f t="shared" si="81"/>
        <v>316127.71100000001</v>
      </c>
      <c r="K109" s="147">
        <f t="shared" ref="K109" si="82">K47+K93</f>
        <v>314079.65799999994</v>
      </c>
      <c r="L109" s="147">
        <f t="shared" si="81"/>
        <v>309593.13999999996</v>
      </c>
      <c r="M109" s="149">
        <f>F109/E109*100</f>
        <v>46.180609282899802</v>
      </c>
      <c r="N109" s="147">
        <f t="shared" si="81"/>
        <v>1664214.8540000003</v>
      </c>
      <c r="O109" s="148">
        <f>F109-N109</f>
        <v>117660.85599999945</v>
      </c>
      <c r="P109" s="149">
        <f>F109/N109*100</f>
        <v>107.07005202586657</v>
      </c>
      <c r="Q109" s="138">
        <f>Q47+Q93</f>
        <v>1494490.459</v>
      </c>
      <c r="R109" s="148">
        <f>F109-Q109</f>
        <v>287385.2509999997</v>
      </c>
      <c r="S109" s="149">
        <f>F109/Q109*100</f>
        <v>119.22964775514835</v>
      </c>
    </row>
    <row r="110" spans="1:21" s="30" customFormat="1" ht="22.5" hidden="1" x14ac:dyDescent="0.3">
      <c r="A110" s="204"/>
      <c r="B110" s="16"/>
      <c r="C110" s="24"/>
      <c r="D110" s="172"/>
      <c r="E110" s="172"/>
      <c r="F110" s="171"/>
      <c r="G110" s="172"/>
      <c r="H110" s="172"/>
      <c r="I110" s="172"/>
      <c r="J110" s="172"/>
      <c r="K110" s="172"/>
      <c r="L110" s="172"/>
      <c r="M110" s="90"/>
      <c r="N110" s="172"/>
      <c r="O110" s="89"/>
      <c r="P110" s="90"/>
      <c r="Q110" s="171"/>
      <c r="R110" s="89"/>
      <c r="S110" s="90"/>
    </row>
    <row r="111" spans="1:21" s="30" customFormat="1" ht="101.25" hidden="1" x14ac:dyDescent="0.3">
      <c r="A111" s="204"/>
      <c r="B111" s="154" t="s">
        <v>161</v>
      </c>
      <c r="C111" s="24"/>
      <c r="D111" s="197">
        <f>D109+D48+D49+D113</f>
        <v>4802153.1889999993</v>
      </c>
      <c r="E111" s="197">
        <f>E109+E48+E49+E113</f>
        <v>4810578.1889999993</v>
      </c>
      <c r="F111" s="155">
        <f t="shared" si="78"/>
        <v>2314281.41</v>
      </c>
      <c r="G111" s="197">
        <f t="shared" ref="G111:N111" si="83">G109+G48+G49+G113</f>
        <v>310815.51399999997</v>
      </c>
      <c r="H111" s="197">
        <f t="shared" si="83"/>
        <v>379400.93099999998</v>
      </c>
      <c r="I111" s="197">
        <f t="shared" si="83"/>
        <v>362027.15600000002</v>
      </c>
      <c r="J111" s="197">
        <f t="shared" si="83"/>
        <v>390854.61100000003</v>
      </c>
      <c r="K111" s="197">
        <f t="shared" ref="K111" si="84">K109+K48+K49+K113</f>
        <v>404704.95799999993</v>
      </c>
      <c r="L111" s="197">
        <f t="shared" si="83"/>
        <v>466478.24</v>
      </c>
      <c r="M111" s="157">
        <f>F111/E111*100</f>
        <v>48.108175755086982</v>
      </c>
      <c r="N111" s="197">
        <f t="shared" si="83"/>
        <v>2196620.5540000005</v>
      </c>
      <c r="O111" s="156">
        <f>F111-N111</f>
        <v>117660.85599999968</v>
      </c>
      <c r="P111" s="157">
        <f>F111/N111*100</f>
        <v>105.35644883162647</v>
      </c>
      <c r="Q111" s="155">
        <f>Q109+Q48+Q49+Q113</f>
        <v>1805221.659</v>
      </c>
      <c r="R111" s="156">
        <f>F111-Q111</f>
        <v>509059.75100000016</v>
      </c>
      <c r="S111" s="157">
        <f>F111/Q111*100</f>
        <v>128.1992933367525</v>
      </c>
      <c r="T111" s="61"/>
    </row>
    <row r="112" spans="1:21" s="30" customFormat="1" ht="22.5" hidden="1" x14ac:dyDescent="0.3">
      <c r="A112" s="204"/>
      <c r="B112" s="16"/>
      <c r="C112" s="24"/>
      <c r="D112" s="172"/>
      <c r="E112" s="172"/>
      <c r="F112" s="171"/>
      <c r="G112" s="172"/>
      <c r="H112" s="172"/>
      <c r="I112" s="172"/>
      <c r="J112" s="172"/>
      <c r="K112" s="172"/>
      <c r="L112" s="172"/>
      <c r="M112" s="90"/>
      <c r="N112" s="172"/>
      <c r="O112" s="89"/>
      <c r="P112" s="90"/>
      <c r="Q112" s="171"/>
      <c r="R112" s="89"/>
      <c r="S112" s="90"/>
    </row>
    <row r="113" spans="1:21" s="30" customFormat="1" ht="20.25" hidden="1" x14ac:dyDescent="0.3">
      <c r="A113" s="204"/>
      <c r="B113" s="154" t="s">
        <v>72</v>
      </c>
      <c r="C113" s="24"/>
      <c r="D113" s="197">
        <v>234281.5</v>
      </c>
      <c r="E113" s="197">
        <v>234281.5</v>
      </c>
      <c r="F113" s="155">
        <f t="shared" si="78"/>
        <v>117141</v>
      </c>
      <c r="G113" s="197">
        <v>19523.5</v>
      </c>
      <c r="H113" s="197">
        <v>19523.5</v>
      </c>
      <c r="I113" s="197">
        <v>19523.5</v>
      </c>
      <c r="J113" s="197">
        <v>19523.5</v>
      </c>
      <c r="K113" s="197">
        <v>19523.5</v>
      </c>
      <c r="L113" s="197">
        <v>19523.5</v>
      </c>
      <c r="M113" s="157">
        <f>F113/E113*100</f>
        <v>50.000106709236533</v>
      </c>
      <c r="N113" s="197">
        <f>F113</f>
        <v>117141</v>
      </c>
      <c r="O113" s="156">
        <f>F113-N113</f>
        <v>0</v>
      </c>
      <c r="P113" s="157">
        <f>F113/N113*100</f>
        <v>100</v>
      </c>
      <c r="Q113" s="155">
        <v>-90808.2</v>
      </c>
      <c r="R113" s="156">
        <f>F113-Q113</f>
        <v>207949.2</v>
      </c>
      <c r="S113" s="157">
        <f>F113/Q113*100</f>
        <v>-128.99826227146889</v>
      </c>
    </row>
    <row r="114" spans="1:21" s="30" customFormat="1" ht="22.5" x14ac:dyDescent="0.3">
      <c r="A114" s="12"/>
      <c r="B114" s="16"/>
      <c r="C114" s="24"/>
      <c r="D114" s="172"/>
      <c r="E114" s="172"/>
      <c r="F114" s="171"/>
      <c r="G114" s="172"/>
      <c r="H114" s="172"/>
      <c r="I114" s="172"/>
      <c r="J114" s="172"/>
      <c r="K114" s="172"/>
      <c r="L114" s="172"/>
      <c r="M114" s="90"/>
      <c r="N114" s="172"/>
      <c r="O114" s="89"/>
      <c r="P114" s="90"/>
      <c r="Q114" s="171"/>
      <c r="R114" s="89"/>
      <c r="S114" s="90"/>
    </row>
    <row r="115" spans="1:21" s="47" customFormat="1" ht="33.75" customHeight="1" x14ac:dyDescent="0.3">
      <c r="A115" s="44"/>
      <c r="B115" s="48" t="s">
        <v>28</v>
      </c>
      <c r="C115" s="50"/>
      <c r="D115" s="171">
        <f>D68+D99</f>
        <v>864542.80200000003</v>
      </c>
      <c r="E115" s="171">
        <f>E68+E99</f>
        <v>881975.01899999997</v>
      </c>
      <c r="F115" s="171">
        <f t="shared" si="78"/>
        <v>445052.52</v>
      </c>
      <c r="G115" s="171">
        <f t="shared" ref="G115:N115" si="85">G68+G99</f>
        <v>46907.102000000006</v>
      </c>
      <c r="H115" s="171">
        <f t="shared" si="85"/>
        <v>54592.909</v>
      </c>
      <c r="I115" s="171">
        <f t="shared" si="85"/>
        <v>58734.603000000003</v>
      </c>
      <c r="J115" s="171">
        <f t="shared" si="85"/>
        <v>57797.366999999998</v>
      </c>
      <c r="K115" s="171">
        <f t="shared" ref="K115" si="86">K68+K99</f>
        <v>81686.313000000009</v>
      </c>
      <c r="L115" s="171">
        <f t="shared" si="85"/>
        <v>145334.226</v>
      </c>
      <c r="M115" s="85">
        <f>F115/E115*100</f>
        <v>50.460898598308269</v>
      </c>
      <c r="N115" s="171">
        <f t="shared" si="85"/>
        <v>565534.54</v>
      </c>
      <c r="O115" s="84">
        <f>F115-N115</f>
        <v>-120482.02000000002</v>
      </c>
      <c r="P115" s="85">
        <f>F115/N115*100</f>
        <v>78.695904232480657</v>
      </c>
      <c r="Q115" s="171">
        <f>Q68+Q99</f>
        <v>483876.14099999995</v>
      </c>
      <c r="R115" s="84">
        <f>F115-Q115</f>
        <v>-38823.620999999926</v>
      </c>
      <c r="S115" s="85">
        <f>F115/Q115*100</f>
        <v>91.976537442047601</v>
      </c>
    </row>
    <row r="116" spans="1:21" s="56" customFormat="1" ht="22.5" hidden="1" x14ac:dyDescent="0.3">
      <c r="A116" s="158"/>
      <c r="B116" s="57" t="s">
        <v>76</v>
      </c>
      <c r="C116" s="54"/>
      <c r="D116" s="172">
        <f t="shared" ref="D116:E116" si="87">D117+D118</f>
        <v>864542.80200000003</v>
      </c>
      <c r="E116" s="172">
        <f t="shared" si="87"/>
        <v>881975.01900000009</v>
      </c>
      <c r="F116" s="171">
        <f t="shared" si="78"/>
        <v>445052.52</v>
      </c>
      <c r="G116" s="172">
        <f t="shared" ref="G116:N116" si="88">G117+G118</f>
        <v>46907.102000000006</v>
      </c>
      <c r="H116" s="172">
        <f t="shared" ref="H116" si="89">H117+H118</f>
        <v>54592.909</v>
      </c>
      <c r="I116" s="172">
        <f t="shared" ref="I116:L116" si="90">I117+I118</f>
        <v>58734.603000000003</v>
      </c>
      <c r="J116" s="172">
        <f t="shared" ref="J116:K116" si="91">J117+J118</f>
        <v>57797.366999999998</v>
      </c>
      <c r="K116" s="172">
        <f t="shared" si="91"/>
        <v>81686.313000000009</v>
      </c>
      <c r="L116" s="172">
        <f t="shared" si="90"/>
        <v>145334.226</v>
      </c>
      <c r="M116" s="90">
        <f>F116/E116*100</f>
        <v>50.460898598308255</v>
      </c>
      <c r="N116" s="172">
        <f t="shared" si="88"/>
        <v>565534.53999999992</v>
      </c>
      <c r="O116" s="89">
        <f>F116-N116</f>
        <v>-120482.0199999999</v>
      </c>
      <c r="P116" s="90">
        <f>F116/N116*100</f>
        <v>78.695904232480672</v>
      </c>
      <c r="Q116" s="171">
        <f t="shared" ref="Q116" si="92">Q117+Q118</f>
        <v>473409.74099999998</v>
      </c>
      <c r="R116" s="89">
        <f>F116-Q116</f>
        <v>-28357.220999999961</v>
      </c>
      <c r="S116" s="90">
        <f>F116/Q116*100</f>
        <v>94.010004749775533</v>
      </c>
    </row>
    <row r="117" spans="1:21" s="161" customFormat="1" ht="23.25" hidden="1" x14ac:dyDescent="0.35">
      <c r="A117" s="159"/>
      <c r="B117" s="160" t="s">
        <v>109</v>
      </c>
      <c r="C117" s="160"/>
      <c r="D117" s="190">
        <f>D72+D100</f>
        <v>838223.4</v>
      </c>
      <c r="E117" s="190">
        <f>E72+E100</f>
        <v>848223.4</v>
      </c>
      <c r="F117" s="121">
        <f t="shared" si="78"/>
        <v>424397</v>
      </c>
      <c r="G117" s="190">
        <f t="shared" ref="G117:N117" si="93">G72+G100</f>
        <v>44804.3</v>
      </c>
      <c r="H117" s="190">
        <f t="shared" si="93"/>
        <v>52312.800000000003</v>
      </c>
      <c r="I117" s="190">
        <f t="shared" si="93"/>
        <v>56011.100000000006</v>
      </c>
      <c r="J117" s="190">
        <f t="shared" si="93"/>
        <v>55203.4</v>
      </c>
      <c r="K117" s="190">
        <f t="shared" ref="K117" si="94">K72+K100</f>
        <v>76945.8</v>
      </c>
      <c r="L117" s="190">
        <f t="shared" si="93"/>
        <v>139119.6</v>
      </c>
      <c r="M117" s="188">
        <f>F117/E117*100</f>
        <v>50.033635007004051</v>
      </c>
      <c r="N117" s="190">
        <f t="shared" si="93"/>
        <v>540958.69999999995</v>
      </c>
      <c r="O117" s="118">
        <f>F117-N117</f>
        <v>-116561.69999999995</v>
      </c>
      <c r="P117" s="188">
        <f>F117/N117*100</f>
        <v>78.452754341505198</v>
      </c>
      <c r="Q117" s="121">
        <f>Q72+Q100</f>
        <v>433758.58499999996</v>
      </c>
      <c r="R117" s="118">
        <f>F117-Q117</f>
        <v>-9361.5849999999627</v>
      </c>
      <c r="S117" s="188">
        <f>F117/Q117*100</f>
        <v>97.84175222722105</v>
      </c>
    </row>
    <row r="118" spans="1:21" s="161" customFormat="1" ht="23.25" hidden="1" x14ac:dyDescent="0.35">
      <c r="A118" s="159"/>
      <c r="B118" s="160" t="s">
        <v>108</v>
      </c>
      <c r="C118" s="160"/>
      <c r="D118" s="190">
        <f>D101+D73</f>
        <v>26319.402000000002</v>
      </c>
      <c r="E118" s="190">
        <f>E101+E73</f>
        <v>33751.619000000006</v>
      </c>
      <c r="F118" s="121">
        <f t="shared" si="78"/>
        <v>20655.52</v>
      </c>
      <c r="G118" s="190">
        <f t="shared" ref="G118:N118" si="95">G101+G73</f>
        <v>2102.8020000000001</v>
      </c>
      <c r="H118" s="190">
        <f t="shared" si="95"/>
        <v>2280.1089999999999</v>
      </c>
      <c r="I118" s="190">
        <f t="shared" si="95"/>
        <v>2723.5030000000002</v>
      </c>
      <c r="J118" s="190">
        <f t="shared" si="95"/>
        <v>2593.9670000000001</v>
      </c>
      <c r="K118" s="190">
        <f t="shared" ref="K118" si="96">K101+K73</f>
        <v>4740.5129999999999</v>
      </c>
      <c r="L118" s="190">
        <f t="shared" si="95"/>
        <v>6214.6260000000002</v>
      </c>
      <c r="M118" s="188">
        <f>F118/E118*100</f>
        <v>61.198605020991728</v>
      </c>
      <c r="N118" s="190">
        <f t="shared" si="95"/>
        <v>24575.84</v>
      </c>
      <c r="O118" s="118">
        <f>F118-N118</f>
        <v>-3920.3199999999997</v>
      </c>
      <c r="P118" s="188">
        <f>F118/N118*100</f>
        <v>84.048073229643421</v>
      </c>
      <c r="Q118" s="121">
        <f>Q101+Q73</f>
        <v>39651.156000000003</v>
      </c>
      <c r="R118" s="118">
        <f>F118-Q118</f>
        <v>-18995.636000000002</v>
      </c>
      <c r="S118" s="188">
        <f>F118/Q118*100</f>
        <v>52.093109214772959</v>
      </c>
    </row>
    <row r="119" spans="1:21" s="8" customFormat="1" ht="23.25" x14ac:dyDescent="0.25">
      <c r="A119" s="26"/>
      <c r="B119" s="42"/>
      <c r="C119" s="17"/>
      <c r="D119" s="190"/>
      <c r="E119" s="190"/>
      <c r="F119" s="121"/>
      <c r="G119" s="190"/>
      <c r="H119" s="190"/>
      <c r="I119" s="190"/>
      <c r="J119" s="190"/>
      <c r="K119" s="190"/>
      <c r="L119" s="190"/>
      <c r="M119" s="188"/>
      <c r="N119" s="190"/>
      <c r="O119" s="118"/>
      <c r="P119" s="188"/>
      <c r="Q119" s="121"/>
      <c r="R119" s="118"/>
      <c r="S119" s="188"/>
    </row>
    <row r="120" spans="1:21" s="142" customFormat="1" ht="46.5" x14ac:dyDescent="0.3">
      <c r="A120" s="151"/>
      <c r="B120" s="136" t="s">
        <v>152</v>
      </c>
      <c r="C120" s="143"/>
      <c r="D120" s="138">
        <f>D107+D115</f>
        <v>4785057.2889999999</v>
      </c>
      <c r="E120" s="138">
        <f>E107+E115</f>
        <v>4810914.5060000001</v>
      </c>
      <c r="F120" s="138">
        <f t="shared" si="78"/>
        <v>2260781.2990000001</v>
      </c>
      <c r="G120" s="138">
        <f t="shared" ref="G120:N120" si="97">G107+G115</f>
        <v>297255.12099999998</v>
      </c>
      <c r="H120" s="138">
        <f t="shared" si="97"/>
        <v>370917.83499999996</v>
      </c>
      <c r="I120" s="138">
        <f t="shared" si="97"/>
        <v>352606.23800000001</v>
      </c>
      <c r="J120" s="138">
        <f t="shared" si="97"/>
        <v>379616.53399999999</v>
      </c>
      <c r="K120" s="138">
        <f t="shared" ref="K120" si="98">K107+K115</f>
        <v>400975.80300000001</v>
      </c>
      <c r="L120" s="138">
        <f t="shared" si="97"/>
        <v>459409.76799999992</v>
      </c>
      <c r="M120" s="140">
        <f>F120/E120*100</f>
        <v>46.992755663823061</v>
      </c>
      <c r="N120" s="138">
        <f t="shared" si="97"/>
        <v>2264972.4930000002</v>
      </c>
      <c r="O120" s="139">
        <f>F120-N120</f>
        <v>-4191.1940000001341</v>
      </c>
      <c r="P120" s="140">
        <f>F120/N120*100</f>
        <v>99.814956075053757</v>
      </c>
      <c r="Q120" s="138">
        <f>Q103+Q75</f>
        <v>2011857.669</v>
      </c>
      <c r="R120" s="139">
        <f>F120-Q120</f>
        <v>248923.63000000012</v>
      </c>
      <c r="S120" s="140">
        <f>F120/Q120*100</f>
        <v>112.37282506787511</v>
      </c>
      <c r="T120" s="138">
        <v>2011857.669</v>
      </c>
      <c r="U120" s="138">
        <f>T120-Q120</f>
        <v>0</v>
      </c>
    </row>
    <row r="121" spans="1:21" s="56" customFormat="1" ht="22.5" hidden="1" x14ac:dyDescent="0.3">
      <c r="A121" s="58"/>
      <c r="B121" s="53"/>
      <c r="C121" s="54"/>
      <c r="D121" s="101"/>
      <c r="E121" s="101"/>
      <c r="F121" s="115"/>
      <c r="G121" s="101"/>
      <c r="H121" s="180"/>
      <c r="I121" s="180"/>
      <c r="J121" s="180"/>
      <c r="K121" s="180"/>
      <c r="L121" s="101"/>
      <c r="M121" s="90"/>
      <c r="N121" s="101"/>
      <c r="O121" s="89"/>
      <c r="P121" s="90"/>
      <c r="Q121" s="115"/>
      <c r="R121" s="89"/>
      <c r="S121" s="90"/>
    </row>
    <row r="122" spans="1:21" s="56" customFormat="1" ht="87" hidden="1" x14ac:dyDescent="0.3">
      <c r="A122" s="58"/>
      <c r="B122" s="113" t="s">
        <v>77</v>
      </c>
      <c r="C122" s="54"/>
      <c r="D122" s="55">
        <f>D75+D105</f>
        <v>4714611.091</v>
      </c>
      <c r="E122" s="55">
        <f t="shared" si="50"/>
        <v>4714611.091</v>
      </c>
      <c r="F122" s="46">
        <f t="shared" si="78"/>
        <v>2226928.23</v>
      </c>
      <c r="G122" s="55">
        <f>G75+G105</f>
        <v>293394.81599999999</v>
      </c>
      <c r="H122" s="172">
        <f>H75+H105</f>
        <v>362157.54</v>
      </c>
      <c r="I122" s="172">
        <f>I75+I105</f>
        <v>346757.45900000003</v>
      </c>
      <c r="J122" s="172">
        <f>J75+J105</f>
        <v>373925.07799999998</v>
      </c>
      <c r="K122" s="172">
        <f t="shared" ref="K122" si="99">K75+K105</f>
        <v>395765.97099999996</v>
      </c>
      <c r="L122" s="55">
        <f>L75+L105</f>
        <v>454927.36599999998</v>
      </c>
      <c r="M122" s="90">
        <f>F122/E122*100</f>
        <v>47.23461144549367</v>
      </c>
      <c r="N122" s="55">
        <f>N75+N105</f>
        <v>2229749.3940000003</v>
      </c>
      <c r="O122" s="89">
        <f>F122-N122</f>
        <v>-2821.164000000339</v>
      </c>
      <c r="P122" s="90">
        <f>F122/N122*100</f>
        <v>99.87347618492052</v>
      </c>
      <c r="Q122" s="46">
        <f>Q75+Q105</f>
        <v>1978366.5999999999</v>
      </c>
      <c r="R122" s="89">
        <f>F122-Q122</f>
        <v>248561.63000000012</v>
      </c>
      <c r="S122" s="90">
        <f>F122/Q122*100</f>
        <v>112.56398232764342</v>
      </c>
    </row>
    <row r="123" spans="1:21" s="15" customFormat="1" ht="3.75" customHeight="1" x14ac:dyDescent="0.3">
      <c r="A123" s="35"/>
      <c r="B123" s="36"/>
      <c r="C123" s="37"/>
      <c r="D123" s="37"/>
      <c r="E123" s="38"/>
      <c r="F123" s="99"/>
      <c r="G123" s="38"/>
      <c r="H123" s="198"/>
      <c r="I123" s="198"/>
      <c r="J123" s="198"/>
      <c r="K123" s="198"/>
      <c r="L123" s="38"/>
      <c r="M123" s="93"/>
      <c r="N123" s="38"/>
      <c r="O123" s="92"/>
      <c r="P123" s="93"/>
      <c r="Q123" s="99"/>
      <c r="R123" s="92"/>
      <c r="S123" s="93"/>
    </row>
    <row r="124" spans="1:21" s="15" customFormat="1" ht="67.5" customHeight="1" x14ac:dyDescent="0.4">
      <c r="A124" s="35"/>
      <c r="B124" s="170" t="s">
        <v>209</v>
      </c>
      <c r="C124" s="170"/>
      <c r="D124" s="170"/>
      <c r="E124" s="170"/>
      <c r="F124" s="170" t="s">
        <v>210</v>
      </c>
      <c r="G124" s="170"/>
      <c r="H124" s="198"/>
      <c r="I124" s="92"/>
      <c r="J124" s="1"/>
      <c r="K124" s="1"/>
      <c r="L124" s="1"/>
      <c r="M124" s="93"/>
      <c r="N124" s="38"/>
      <c r="O124" s="92"/>
      <c r="P124" s="93"/>
      <c r="Q124" s="22"/>
      <c r="R124" s="92"/>
      <c r="S124" s="93"/>
    </row>
    <row r="125" spans="1:21" s="8" customFormat="1" ht="18" customHeight="1" x14ac:dyDescent="0.45">
      <c r="A125" s="6"/>
      <c r="B125" s="29" t="s">
        <v>52</v>
      </c>
      <c r="C125" s="19"/>
      <c r="D125" s="19"/>
      <c r="E125" s="19"/>
      <c r="F125" s="199"/>
      <c r="G125" s="199"/>
      <c r="H125" s="7"/>
      <c r="I125" s="94"/>
      <c r="J125" s="1"/>
      <c r="K125" s="1"/>
      <c r="L125" s="1"/>
      <c r="M125" s="95"/>
      <c r="N125" s="7"/>
      <c r="O125" s="94"/>
      <c r="P125" s="95"/>
      <c r="Q125" s="21"/>
      <c r="R125" s="94"/>
      <c r="S125" s="95"/>
    </row>
    <row r="126" spans="1:21" s="8" customFormat="1" ht="30.75" hidden="1" x14ac:dyDescent="0.45">
      <c r="A126" s="6"/>
      <c r="B126" s="19"/>
      <c r="C126" s="19"/>
      <c r="D126" s="19"/>
      <c r="E126" s="123"/>
      <c r="F126" s="59"/>
      <c r="G126" s="21"/>
      <c r="H126" s="199"/>
      <c r="I126" s="199"/>
      <c r="J126" s="199"/>
      <c r="K126" s="199"/>
      <c r="L126" s="21"/>
      <c r="M126" s="95"/>
      <c r="N126" s="7"/>
      <c r="O126" s="94"/>
      <c r="P126" s="95"/>
      <c r="Q126" s="59"/>
      <c r="R126" s="94"/>
      <c r="S126" s="95"/>
    </row>
    <row r="127" spans="1:21" s="4" customFormat="1" ht="30.75" hidden="1" x14ac:dyDescent="0.45">
      <c r="A127" s="27"/>
      <c r="B127" s="19"/>
      <c r="C127" s="19"/>
      <c r="D127" s="181">
        <v>4785057.2889999999</v>
      </c>
      <c r="E127" s="110">
        <v>4810914.5060000001</v>
      </c>
      <c r="F127" s="174">
        <v>2260781.2990000001</v>
      </c>
      <c r="G127" s="64">
        <v>297255.12099999998</v>
      </c>
      <c r="H127" s="174">
        <v>370917.83299999998</v>
      </c>
      <c r="I127" s="174">
        <v>352606.24</v>
      </c>
      <c r="J127" s="174">
        <v>379616.53399999999</v>
      </c>
      <c r="K127" s="174">
        <v>400975.80300000001</v>
      </c>
      <c r="L127" s="174">
        <v>459409.76799999998</v>
      </c>
      <c r="M127" s="5"/>
      <c r="N127" s="174">
        <v>2264972.4929999998</v>
      </c>
      <c r="O127" s="5"/>
      <c r="P127" s="5"/>
      <c r="Q127" s="64"/>
      <c r="R127" s="5"/>
    </row>
    <row r="128" spans="1:21" ht="12" hidden="1" customHeight="1" x14ac:dyDescent="0.45">
      <c r="B128" s="29"/>
      <c r="C128" s="21"/>
      <c r="D128" s="21"/>
      <c r="E128" s="21"/>
      <c r="F128" s="59"/>
      <c r="Q128" s="59"/>
    </row>
    <row r="129" spans="1:44" s="2" customFormat="1" ht="30.75" hidden="1" customHeight="1" x14ac:dyDescent="0.45">
      <c r="A129" s="28"/>
      <c r="B129" s="19"/>
      <c r="C129" s="19"/>
      <c r="D129" s="19"/>
      <c r="E129" s="19"/>
      <c r="F129" s="59"/>
      <c r="H129" s="200"/>
      <c r="I129" s="200"/>
      <c r="J129" s="200"/>
      <c r="K129" s="200"/>
      <c r="M129" s="132"/>
      <c r="O129" s="132"/>
      <c r="P129" s="132"/>
      <c r="Q129" s="59"/>
      <c r="R129" s="132"/>
    </row>
    <row r="130" spans="1:44" s="2" customFormat="1" ht="30.75" hidden="1" customHeight="1" x14ac:dyDescent="0.45">
      <c r="A130" s="28"/>
      <c r="B130" s="19"/>
      <c r="C130" s="19"/>
      <c r="D130" s="19"/>
      <c r="E130" s="19"/>
      <c r="F130" s="59"/>
      <c r="H130" s="200"/>
      <c r="I130" s="200"/>
      <c r="J130" s="200"/>
      <c r="K130" s="200"/>
      <c r="M130" s="132"/>
      <c r="O130" s="132"/>
      <c r="P130" s="132"/>
      <c r="Q130" s="59"/>
      <c r="R130" s="132"/>
    </row>
    <row r="131" spans="1:44" s="2" customFormat="1" ht="16.5" hidden="1" customHeight="1" x14ac:dyDescent="0.45">
      <c r="A131" s="28"/>
      <c r="B131" s="29"/>
      <c r="C131" s="21"/>
      <c r="D131" s="21"/>
      <c r="E131" s="21"/>
      <c r="F131" s="59"/>
      <c r="H131" s="200"/>
      <c r="I131" s="200"/>
      <c r="J131" s="200"/>
      <c r="K131" s="200"/>
      <c r="M131" s="132"/>
      <c r="O131" s="132"/>
      <c r="P131" s="132"/>
      <c r="Q131" s="59"/>
      <c r="R131" s="132"/>
    </row>
    <row r="132" spans="1:44" ht="18.75" hidden="1" x14ac:dyDescent="0.3">
      <c r="B132" s="27"/>
      <c r="D132" s="110">
        <f>D127-D120</f>
        <v>0</v>
      </c>
      <c r="E132" s="110">
        <f t="shared" ref="E132:L132" si="100">E127-E120</f>
        <v>0</v>
      </c>
      <c r="F132" s="110">
        <f t="shared" si="100"/>
        <v>0</v>
      </c>
      <c r="G132" s="110">
        <f t="shared" si="100"/>
        <v>0</v>
      </c>
      <c r="H132" s="181">
        <f t="shared" si="100"/>
        <v>-1.9999999785795808E-3</v>
      </c>
      <c r="I132" s="181">
        <f t="shared" ref="I132:K132" si="101">I127-I120</f>
        <v>1.9999999785795808E-3</v>
      </c>
      <c r="J132" s="181">
        <f t="shared" si="101"/>
        <v>0</v>
      </c>
      <c r="K132" s="181">
        <f t="shared" si="101"/>
        <v>0</v>
      </c>
      <c r="L132" s="110">
        <f t="shared" si="100"/>
        <v>0</v>
      </c>
      <c r="N132" s="110">
        <f>N127-N120</f>
        <v>0</v>
      </c>
      <c r="O132" s="223" t="s">
        <v>49</v>
      </c>
      <c r="P132" s="223"/>
      <c r="Q132" s="110"/>
    </row>
    <row r="133" spans="1:44" ht="18.75" hidden="1" x14ac:dyDescent="0.3">
      <c r="B133" s="27"/>
      <c r="N133" s="112"/>
      <c r="O133" s="132"/>
      <c r="P133" s="132"/>
    </row>
    <row r="134" spans="1:44" ht="18.75" hidden="1" x14ac:dyDescent="0.3">
      <c r="B134" s="4"/>
      <c r="C134" s="3"/>
      <c r="D134" s="3"/>
      <c r="E134" s="111">
        <v>4809905.6789999995</v>
      </c>
      <c r="F134" s="111">
        <v>1801371.531</v>
      </c>
      <c r="O134" s="223" t="s">
        <v>50</v>
      </c>
      <c r="P134" s="223"/>
      <c r="Q134" s="111"/>
    </row>
    <row r="135" spans="1:44" ht="18.75" hidden="1" x14ac:dyDescent="0.3">
      <c r="B135" s="4"/>
      <c r="C135" s="3"/>
      <c r="D135" s="3"/>
      <c r="E135" s="111">
        <f>E134-E120</f>
        <v>-1008.8270000005141</v>
      </c>
      <c r="F135" s="111">
        <f>F134-F120</f>
        <v>-459409.76800000016</v>
      </c>
      <c r="O135" s="132"/>
      <c r="P135" s="132"/>
      <c r="Q135" s="3"/>
    </row>
    <row r="136" spans="1:44" ht="22.5" x14ac:dyDescent="0.3">
      <c r="B136" s="4"/>
      <c r="C136" s="3"/>
      <c r="D136" s="3"/>
      <c r="E136" s="124"/>
      <c r="F136" s="124"/>
      <c r="O136" s="223" t="s">
        <v>51</v>
      </c>
      <c r="P136" s="223"/>
      <c r="Q136" s="124"/>
    </row>
    <row r="137" spans="1:44" ht="18.75" x14ac:dyDescent="0.3">
      <c r="B137" s="4"/>
      <c r="C137" s="3"/>
      <c r="D137" s="3"/>
      <c r="E137" s="3"/>
      <c r="O137" s="132"/>
      <c r="P137" s="132"/>
    </row>
    <row r="138" spans="1:44" ht="18.75" x14ac:dyDescent="0.3">
      <c r="B138" s="4"/>
      <c r="C138" s="3"/>
      <c r="D138" s="3"/>
      <c r="E138" s="3"/>
    </row>
    <row r="139" spans="1:44" ht="18.75" x14ac:dyDescent="0.3">
      <c r="B139" s="126"/>
      <c r="C139" s="3"/>
      <c r="D139" s="3"/>
      <c r="E139" s="3"/>
    </row>
    <row r="140" spans="1:44" ht="18.75" x14ac:dyDescent="0.3">
      <c r="B140" s="4"/>
      <c r="C140" s="3"/>
      <c r="D140" s="3"/>
      <c r="E140" s="3"/>
    </row>
    <row r="141" spans="1:44" s="20" customFormat="1" ht="18.75" x14ac:dyDescent="0.3">
      <c r="B141" s="4"/>
      <c r="C141" s="3"/>
      <c r="D141" s="3"/>
      <c r="E141" s="3"/>
      <c r="F141" s="31"/>
      <c r="G141" s="3"/>
      <c r="H141" s="195"/>
      <c r="I141" s="195"/>
      <c r="J141" s="195"/>
      <c r="K141" s="195"/>
      <c r="L141" s="3"/>
      <c r="M141" s="1"/>
      <c r="N141" s="3"/>
      <c r="O141" s="1"/>
      <c r="P141" s="1"/>
      <c r="Q141" s="31"/>
      <c r="R141" s="1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s="20" customFormat="1" ht="18.75" x14ac:dyDescent="0.3">
      <c r="B142" s="4"/>
      <c r="C142" s="3"/>
      <c r="D142" s="3"/>
      <c r="E142" s="111"/>
      <c r="F142" s="127"/>
      <c r="G142" s="3"/>
      <c r="H142" s="195"/>
      <c r="I142" s="195"/>
      <c r="J142" s="195"/>
      <c r="K142" s="195"/>
      <c r="L142" s="3"/>
      <c r="M142" s="1"/>
      <c r="N142" s="3"/>
      <c r="O142" s="1"/>
      <c r="P142" s="1"/>
      <c r="Q142" s="127"/>
      <c r="R142" s="1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s="20" customFormat="1" ht="18.75" x14ac:dyDescent="0.3">
      <c r="B143" s="4"/>
      <c r="C143" s="3"/>
      <c r="D143" s="128"/>
      <c r="E143" s="3"/>
      <c r="F143" s="31"/>
      <c r="G143" s="3"/>
      <c r="H143" s="195"/>
      <c r="I143" s="195"/>
      <c r="J143" s="195"/>
      <c r="K143" s="195"/>
      <c r="L143" s="3"/>
      <c r="M143" s="1"/>
      <c r="N143" s="3"/>
      <c r="O143" s="1"/>
      <c r="P143" s="1"/>
      <c r="Q143" s="31"/>
      <c r="R143" s="1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s="20" customFormat="1" ht="18.75" x14ac:dyDescent="0.3">
      <c r="B144" s="4"/>
      <c r="C144" s="3"/>
      <c r="D144" s="3"/>
      <c r="E144" s="3"/>
      <c r="F144" s="31"/>
      <c r="G144" s="3"/>
      <c r="H144" s="195"/>
      <c r="I144" s="195"/>
      <c r="J144" s="195"/>
      <c r="K144" s="195"/>
      <c r="L144" s="3"/>
      <c r="M144" s="1"/>
      <c r="N144" s="3"/>
      <c r="O144" s="1"/>
      <c r="P144" s="1"/>
      <c r="Q144" s="31"/>
      <c r="R144" s="1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2:44" s="20" customFormat="1" ht="22.5" x14ac:dyDescent="0.3">
      <c r="B145" s="4"/>
      <c r="C145" s="3"/>
      <c r="D145" s="125"/>
      <c r="E145" s="3"/>
      <c r="F145" s="31"/>
      <c r="G145" s="3"/>
      <c r="H145" s="195"/>
      <c r="I145" s="195"/>
      <c r="J145" s="195"/>
      <c r="K145" s="195"/>
      <c r="L145" s="3"/>
      <c r="M145" s="1"/>
      <c r="N145" s="3"/>
      <c r="O145" s="1"/>
      <c r="P145" s="1"/>
      <c r="Q145" s="31"/>
      <c r="R145" s="1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2:44" s="20" customFormat="1" ht="18.75" x14ac:dyDescent="0.3">
      <c r="B146" s="4"/>
      <c r="C146" s="3"/>
      <c r="D146" s="3"/>
      <c r="E146" s="3"/>
      <c r="F146" s="127"/>
      <c r="G146" s="3"/>
      <c r="H146" s="195"/>
      <c r="I146" s="195"/>
      <c r="J146" s="195"/>
      <c r="K146" s="195"/>
      <c r="L146" s="3"/>
      <c r="M146" s="1"/>
      <c r="N146" s="3"/>
      <c r="O146" s="1"/>
      <c r="P146" s="1"/>
      <c r="Q146" s="127"/>
      <c r="R146" s="1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2:44" s="20" customFormat="1" ht="18.75" x14ac:dyDescent="0.3">
      <c r="B147" s="4"/>
      <c r="C147" s="3"/>
      <c r="D147" s="3"/>
      <c r="E147" s="3"/>
      <c r="F147" s="31"/>
      <c r="G147" s="3"/>
      <c r="H147" s="195"/>
      <c r="I147" s="195"/>
      <c r="J147" s="195"/>
      <c r="K147" s="195"/>
      <c r="L147" s="3"/>
      <c r="M147" s="1"/>
      <c r="N147" s="3"/>
      <c r="O147" s="1"/>
      <c r="P147" s="1"/>
      <c r="Q147" s="31"/>
      <c r="R147" s="1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2:44" s="20" customFormat="1" ht="18.75" x14ac:dyDescent="0.3">
      <c r="B148" s="4"/>
      <c r="C148" s="3"/>
      <c r="D148" s="3"/>
      <c r="E148" s="3"/>
      <c r="F148" s="31"/>
      <c r="G148" s="3"/>
      <c r="H148" s="195"/>
      <c r="I148" s="195"/>
      <c r="J148" s="195"/>
      <c r="K148" s="195"/>
      <c r="L148" s="3"/>
      <c r="M148" s="1"/>
      <c r="N148" s="3"/>
      <c r="O148" s="1"/>
      <c r="P148" s="1"/>
      <c r="Q148" s="31"/>
      <c r="R148" s="1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2:44" s="20" customFormat="1" ht="18.75" x14ac:dyDescent="0.3">
      <c r="B149" s="27"/>
      <c r="F149" s="31"/>
      <c r="G149" s="3"/>
      <c r="H149" s="195"/>
      <c r="I149" s="195"/>
      <c r="J149" s="195"/>
      <c r="K149" s="195"/>
      <c r="L149" s="3"/>
      <c r="M149" s="1"/>
      <c r="N149" s="3"/>
      <c r="O149" s="1"/>
      <c r="P149" s="1"/>
      <c r="Q149" s="31"/>
      <c r="R149" s="1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2:44" s="20" customFormat="1" ht="18.75" x14ac:dyDescent="0.3">
      <c r="B150" s="27"/>
      <c r="F150" s="31"/>
      <c r="G150" s="3"/>
      <c r="H150" s="195"/>
      <c r="I150" s="195"/>
      <c r="J150" s="195"/>
      <c r="K150" s="195"/>
      <c r="L150" s="3"/>
      <c r="M150" s="1"/>
      <c r="N150" s="3"/>
      <c r="O150" s="1"/>
      <c r="P150" s="1"/>
      <c r="Q150" s="31"/>
      <c r="R150" s="1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</sheetData>
  <mergeCells count="29">
    <mergeCell ref="A6:S6"/>
    <mergeCell ref="A1:S1"/>
    <mergeCell ref="A76:S76"/>
    <mergeCell ref="A106:S106"/>
    <mergeCell ref="O132:P132"/>
    <mergeCell ref="S3:S4"/>
    <mergeCell ref="N3:N4"/>
    <mergeCell ref="O3:O4"/>
    <mergeCell ref="P3:P4"/>
    <mergeCell ref="M3:M4"/>
    <mergeCell ref="Q3:Q4"/>
    <mergeCell ref="R3:R4"/>
    <mergeCell ref="A3:A4"/>
    <mergeCell ref="G3:G4"/>
    <mergeCell ref="L3:L4"/>
    <mergeCell ref="B3:B4"/>
    <mergeCell ref="O134:P134"/>
    <mergeCell ref="O136:P136"/>
    <mergeCell ref="C19:C21"/>
    <mergeCell ref="A55:A57"/>
    <mergeCell ref="C55:C57"/>
    <mergeCell ref="I3:I4"/>
    <mergeCell ref="J3:J4"/>
    <mergeCell ref="K3:K4"/>
    <mergeCell ref="C3:C4"/>
    <mergeCell ref="D3:D4"/>
    <mergeCell ref="E3:E4"/>
    <mergeCell ref="F3:F4"/>
    <mergeCell ref="H3:H4"/>
  </mergeCells>
  <printOptions horizontalCentered="1"/>
  <pageMargins left="0.39370078740157483" right="0" top="0" bottom="0" header="0.23622047244094491" footer="0.11811023622047245"/>
  <pageSetup paperSize="8" scale="82" fitToHeight="6" orientation="landscape" horizontalDpi="300" verticalDpi="300" r:id="rId1"/>
  <headerFooter alignWithMargins="0"/>
  <rowBreaks count="2" manualBreakCount="2">
    <brk id="47" max="22" man="1"/>
    <brk id="83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2021-10-04T05:26:19Z</cp:lastPrinted>
  <dcterms:created xsi:type="dcterms:W3CDTF">1996-10-08T23:32:33Z</dcterms:created>
  <dcterms:modified xsi:type="dcterms:W3CDTF">2021-10-04T05:47:16Z</dcterms:modified>
</cp:coreProperties>
</file>